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seduculiegebe-my.sharepoint.com/personal/joachim_wauters_student_uliege_be/Documents/Bureau/Wauters Joachim mémoire/Wauters Joachim Annexes/"/>
    </mc:Choice>
  </mc:AlternateContent>
  <xr:revisionPtr revIDLastSave="36" documentId="8_{C8961654-2B10-4639-B536-3DA288E1210C}" xr6:coauthVersionLast="47" xr6:coauthVersionMax="47" xr10:uidLastSave="{86EC58B5-0D9E-4417-8469-02C89EF581F8}"/>
  <bookViews>
    <workbookView xWindow="-108" yWindow="-108" windowWidth="23256" windowHeight="12456" xr2:uid="{FBE51551-96B1-48BD-A00B-FA7A2AAF6DCB}"/>
  </bookViews>
  <sheets>
    <sheet name="TEWI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55" i="1" l="1"/>
  <c r="AC40" i="1"/>
  <c r="AD40" i="1" l="1"/>
  <c r="N5" i="1" l="1"/>
  <c r="AC17" i="1" s="1"/>
  <c r="AC19" i="1" s="1"/>
  <c r="N36" i="1"/>
  <c r="AB18" i="1"/>
  <c r="AB19" i="1"/>
  <c r="AC18" i="1"/>
  <c r="C72" i="1"/>
  <c r="AB50" i="1" l="1"/>
  <c r="J43" i="1" l="1"/>
  <c r="J19" i="1"/>
  <c r="U35" i="1" l="1"/>
  <c r="U34" i="1"/>
  <c r="U33" i="1"/>
  <c r="U32" i="1"/>
  <c r="U10" i="1"/>
  <c r="U11" i="1"/>
  <c r="U12" i="1"/>
  <c r="C21" i="1" l="1"/>
  <c r="G19" i="1" l="1"/>
  <c r="J7" i="1"/>
  <c r="N4" i="1" s="1"/>
  <c r="G44" i="1" l="1"/>
  <c r="E45" i="1"/>
  <c r="G45" i="1"/>
  <c r="AC16" i="1" l="1"/>
  <c r="N59" i="1"/>
  <c r="N58" i="1"/>
  <c r="AB15" i="1" s="1"/>
  <c r="C70" i="1"/>
  <c r="F59" i="1"/>
  <c r="F69" i="1" s="1"/>
  <c r="AB23" i="1" s="1"/>
  <c r="AD44" i="1" s="1"/>
  <c r="C69" i="1"/>
  <c r="C71" i="1"/>
  <c r="C43" i="1"/>
  <c r="E43" i="1"/>
  <c r="C44" i="1"/>
  <c r="E44" i="1"/>
  <c r="C45" i="1"/>
  <c r="G43" i="1"/>
  <c r="J31" i="1"/>
  <c r="J33" i="1" s="1"/>
  <c r="G20" i="1"/>
  <c r="G21" i="1"/>
  <c r="J9" i="1"/>
  <c r="C19" i="1"/>
  <c r="E21" i="1"/>
  <c r="C20" i="1"/>
  <c r="E20" i="1"/>
  <c r="E19" i="1"/>
  <c r="AB51" i="1" l="1"/>
  <c r="AB52" i="1" s="1"/>
  <c r="AB56" i="1"/>
  <c r="AB57" i="1" s="1"/>
  <c r="G22" i="1"/>
  <c r="T34" i="1" s="1"/>
  <c r="V34" i="1" s="1"/>
  <c r="N6" i="1"/>
  <c r="O4" i="1" s="1"/>
  <c r="T13" i="1"/>
  <c r="V13" i="1" s="1"/>
  <c r="AB29" i="1" s="1"/>
  <c r="T35" i="1"/>
  <c r="E22" i="1"/>
  <c r="AC15" i="1"/>
  <c r="N35" i="1"/>
  <c r="N60" i="1"/>
  <c r="O58" i="1" s="1"/>
  <c r="C22" i="1"/>
  <c r="G46" i="1"/>
  <c r="T12" i="1" s="1"/>
  <c r="E46" i="1"/>
  <c r="T11" i="1" s="1"/>
  <c r="V11" i="1" s="1"/>
  <c r="AB27" i="1" s="1"/>
  <c r="C46" i="1"/>
  <c r="AB22" i="1" l="1"/>
  <c r="AD36" i="1" s="1"/>
  <c r="AD37" i="1" s="1"/>
  <c r="V35" i="1"/>
  <c r="AC44" i="1"/>
  <c r="AD45" i="1" s="1"/>
  <c r="D20" i="1"/>
  <c r="AB44" i="1"/>
  <c r="AB8" i="1"/>
  <c r="T32" i="1"/>
  <c r="T33" i="1"/>
  <c r="V33" i="1" s="1"/>
  <c r="AB31" i="1" s="1"/>
  <c r="F22" i="1"/>
  <c r="T10" i="1"/>
  <c r="AB36" i="1" s="1"/>
  <c r="AB9" i="1"/>
  <c r="AB10" i="1"/>
  <c r="V12" i="1"/>
  <c r="AB28" i="1" s="1"/>
  <c r="D46" i="1"/>
  <c r="D22" i="1"/>
  <c r="O59" i="1"/>
  <c r="F46" i="1"/>
  <c r="D21" i="1"/>
  <c r="H22" i="1"/>
  <c r="H46" i="1"/>
  <c r="D43" i="1"/>
  <c r="N37" i="1"/>
  <c r="O36" i="1" s="1"/>
  <c r="AB16" i="1"/>
  <c r="D19" i="1"/>
  <c r="O5" i="1"/>
  <c r="AB17" i="1"/>
  <c r="D44" i="1"/>
  <c r="D45" i="1"/>
  <c r="AC36" i="1" l="1"/>
  <c r="T36" i="1"/>
  <c r="V32" i="1"/>
  <c r="AB30" i="1" s="1"/>
  <c r="T14" i="1"/>
  <c r="V10" i="1"/>
  <c r="AB26" i="1" s="1"/>
  <c r="AB40" i="1"/>
  <c r="O35" i="1"/>
  <c r="AD41" i="1" l="1"/>
</calcChain>
</file>

<file path=xl/sharedStrings.xml><?xml version="1.0" encoding="utf-8"?>
<sst xmlns="http://schemas.openxmlformats.org/spreadsheetml/2006/main" count="178" uniqueCount="90">
  <si>
    <t>R454B</t>
  </si>
  <si>
    <t xml:space="preserve">Fluide frigo </t>
  </si>
  <si>
    <t xml:space="preserve">Trane </t>
  </si>
  <si>
    <t>Durée de vie moyenne PAC  (années)</t>
  </si>
  <si>
    <t>Taux de fuite annuelle (%)</t>
  </si>
  <si>
    <t>GWP (KgCO2/kg)</t>
  </si>
  <si>
    <t>Taux de récupération du fluide en fin de vie (%)</t>
  </si>
  <si>
    <t>Machine</t>
  </si>
  <si>
    <t xml:space="preserve">Type </t>
  </si>
  <si>
    <t>Groupe froid</t>
  </si>
  <si>
    <t>PAC 2 Tubes</t>
  </si>
  <si>
    <t xml:space="preserve">Calcul du TEWI : </t>
  </si>
  <si>
    <t>Impact du taux de fuite annuel (kg CO2)</t>
  </si>
  <si>
    <t>Impact du la récupération du fluide</t>
  </si>
  <si>
    <t xml:space="preserve">Impact sur la consomation électrique </t>
  </si>
  <si>
    <t>Emission de CO2 production électrique (kgCO2/kwhel)</t>
  </si>
  <si>
    <t xml:space="preserve">Consomation annuelle </t>
  </si>
  <si>
    <t xml:space="preserve">Groupe froid existant </t>
  </si>
  <si>
    <t>Feeder</t>
  </si>
  <si>
    <t>Edergen</t>
  </si>
  <si>
    <t>PAC 4 Tubes</t>
  </si>
  <si>
    <t>propanne</t>
  </si>
  <si>
    <t>Emission de CO2 production électrique (kgCO2/kwh el)</t>
  </si>
  <si>
    <t>CXAF</t>
  </si>
  <si>
    <t>CGAF</t>
  </si>
  <si>
    <t>R410</t>
  </si>
  <si>
    <t>CXAM</t>
  </si>
  <si>
    <t>Existant</t>
  </si>
  <si>
    <t>Consomation E. primaire</t>
  </si>
  <si>
    <t xml:space="preserve">Fateur convertion E. primaire </t>
  </si>
  <si>
    <t>réseau de chaleur</t>
  </si>
  <si>
    <t>Installation Actuelle</t>
  </si>
  <si>
    <t>R410a</t>
  </si>
  <si>
    <t>Consomation annuelle (KWh)</t>
  </si>
  <si>
    <t>GAZ</t>
  </si>
  <si>
    <t>Elec</t>
  </si>
  <si>
    <t>Energie primaire</t>
  </si>
  <si>
    <t>Total</t>
  </si>
  <si>
    <t>Chiller existants</t>
  </si>
  <si>
    <t>Instalation existante</t>
  </si>
  <si>
    <t xml:space="preserve">Solution 1 </t>
  </si>
  <si>
    <t>Solution 2</t>
  </si>
  <si>
    <t xml:space="preserve">Energie primaire </t>
  </si>
  <si>
    <t>TEWI</t>
  </si>
  <si>
    <t>Solution 1</t>
  </si>
  <si>
    <t>Pac réversible</t>
  </si>
  <si>
    <t>Pac 4 Tubes</t>
  </si>
  <si>
    <t xml:space="preserve">Chiller + désurchauffeur </t>
  </si>
  <si>
    <t>Chiller existant</t>
  </si>
  <si>
    <t>Emission de C02 par KWh (gaz)</t>
  </si>
  <si>
    <t>Impact consomation de gaz (Kg/CO2/an)</t>
  </si>
  <si>
    <t>feeder</t>
  </si>
  <si>
    <t>2 tube (chaud)</t>
  </si>
  <si>
    <t>2 tubes (froid)</t>
  </si>
  <si>
    <t>4 tubes froid</t>
  </si>
  <si>
    <t>4 tubes chaud</t>
  </si>
  <si>
    <t>4 T simultané</t>
  </si>
  <si>
    <t xml:space="preserve">groupe froid existant </t>
  </si>
  <si>
    <t>2 tube (froid)</t>
  </si>
  <si>
    <t>réduction</t>
  </si>
  <si>
    <t>Actuel</t>
  </si>
  <si>
    <t xml:space="preserve">Conso. Solution 1 </t>
  </si>
  <si>
    <t>Conso. Solution 2</t>
  </si>
  <si>
    <t xml:space="preserve">total solution 1 </t>
  </si>
  <si>
    <t xml:space="preserve">Détail TEWI </t>
  </si>
  <si>
    <t>TEWI Solution 1</t>
  </si>
  <si>
    <t>TEWI Solution 2</t>
  </si>
  <si>
    <t xml:space="preserve">TEWI total </t>
  </si>
  <si>
    <t>TEWI élec</t>
  </si>
  <si>
    <t>TEWI gaz</t>
  </si>
  <si>
    <t>TEWI Existant</t>
  </si>
  <si>
    <t>Propane</t>
  </si>
  <si>
    <t>Equivalent CO2 sans conso élec</t>
  </si>
  <si>
    <t>Réduction moyenne</t>
  </si>
  <si>
    <t>Impact de la récupération du fluide</t>
  </si>
  <si>
    <t>Impact consomation de gaz (kg/CO2/an)</t>
  </si>
  <si>
    <t>Emission de C02 par kWh (gaz)</t>
  </si>
  <si>
    <t>Taux de fuite annuel (%)</t>
  </si>
  <si>
    <t>Masse fluide  (Kg)</t>
  </si>
  <si>
    <t>Temps de mesure</t>
  </si>
  <si>
    <t xml:space="preserve">Part respective des besoins </t>
  </si>
  <si>
    <t>Besoins couverts</t>
  </si>
  <si>
    <t>Taux de CO2/kwh élec</t>
  </si>
  <si>
    <t>Réduction solution 1</t>
  </si>
  <si>
    <t xml:space="preserve">Taux de CO2 équivalent/kWh fournit </t>
  </si>
  <si>
    <t>Chiller</t>
  </si>
  <si>
    <t>Désurchauffeur Chiller</t>
  </si>
  <si>
    <t>Total solution 2</t>
  </si>
  <si>
    <t>Réseau de chaleur</t>
  </si>
  <si>
    <t>Réduction totale du TEWI sans consomation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</si>
</sst>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44546A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180">
    <xf numFmtId="0" fontId="0" fillId="0" borderId="0" xfId="0"/>
    <xf numFmtId="0" fontId="0" fillId="0" borderId="0" xfId="0" applyAlignment="1">
      <alignment horizontal="center"/>
    </xf>
    <xf numFmtId="0" fontId="0" fillId="0" borderId="9" xfId="0" applyBorder="1"/>
    <xf numFmtId="1" fontId="0" fillId="0" borderId="7" xfId="0" applyNumberFormat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3" borderId="13" xfId="0" applyFill="1" applyBorder="1"/>
    <xf numFmtId="0" fontId="0" fillId="3" borderId="16" xfId="0" applyFill="1" applyBorder="1"/>
    <xf numFmtId="0" fontId="0" fillId="0" borderId="22" xfId="0" applyBorder="1" applyAlignment="1">
      <alignment horizontal="center" vertical="center"/>
    </xf>
    <xf numFmtId="1" fontId="0" fillId="0" borderId="22" xfId="0" applyNumberFormat="1" applyBorder="1" applyAlignment="1">
      <alignment horizontal="center" vertical="center"/>
    </xf>
    <xf numFmtId="9" fontId="0" fillId="0" borderId="0" xfId="1" applyFont="1"/>
    <xf numFmtId="9" fontId="0" fillId="0" borderId="0" xfId="1" applyFont="1" applyAlignment="1">
      <alignment horizontal="center"/>
    </xf>
    <xf numFmtId="1" fontId="0" fillId="0" borderId="0" xfId="0" applyNumberFormat="1"/>
    <xf numFmtId="0" fontId="2" fillId="0" borderId="0" xfId="2"/>
    <xf numFmtId="1" fontId="0" fillId="0" borderId="11" xfId="0" applyNumberFormat="1" applyBorder="1" applyAlignment="1">
      <alignment horizontal="center"/>
    </xf>
    <xf numFmtId="0" fontId="0" fillId="2" borderId="25" xfId="0" applyFill="1" applyBorder="1" applyAlignment="1">
      <alignment horizontal="center"/>
    </xf>
    <xf numFmtId="0" fontId="0" fillId="2" borderId="27" xfId="0" applyFill="1" applyBorder="1" applyAlignment="1">
      <alignment horizontal="center"/>
    </xf>
    <xf numFmtId="0" fontId="0" fillId="2" borderId="26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9" fontId="0" fillId="0" borderId="24" xfId="1" applyFont="1" applyBorder="1" applyAlignment="1">
      <alignment horizontal="center"/>
    </xf>
    <xf numFmtId="1" fontId="0" fillId="0" borderId="26" xfId="0" applyNumberFormat="1" applyBorder="1" applyAlignment="1">
      <alignment horizontal="center"/>
    </xf>
    <xf numFmtId="0" fontId="0" fillId="2" borderId="24" xfId="0" applyFill="1" applyBorder="1" applyAlignment="1">
      <alignment horizontal="center"/>
    </xf>
    <xf numFmtId="2" fontId="0" fillId="0" borderId="10" xfId="1" applyNumberFormat="1" applyFont="1" applyBorder="1" applyAlignment="1">
      <alignment horizontal="center"/>
    </xf>
    <xf numFmtId="2" fontId="0" fillId="0" borderId="8" xfId="1" applyNumberFormat="1" applyFont="1" applyBorder="1" applyAlignment="1">
      <alignment horizontal="center"/>
    </xf>
    <xf numFmtId="2" fontId="0" fillId="0" borderId="9" xfId="1" applyNumberFormat="1" applyFont="1" applyBorder="1" applyAlignment="1">
      <alignment horizontal="center"/>
    </xf>
    <xf numFmtId="1" fontId="0" fillId="2" borderId="24" xfId="0" applyNumberFormat="1" applyFill="1" applyBorder="1" applyAlignment="1">
      <alignment horizontal="center"/>
    </xf>
    <xf numFmtId="0" fontId="0" fillId="2" borderId="24" xfId="0" applyFill="1" applyBorder="1"/>
    <xf numFmtId="0" fontId="0" fillId="4" borderId="1" xfId="0" applyFill="1" applyBorder="1"/>
    <xf numFmtId="0" fontId="0" fillId="4" borderId="2" xfId="0" applyFill="1" applyBorder="1" applyAlignment="1">
      <alignment horizontal="center"/>
    </xf>
    <xf numFmtId="0" fontId="0" fillId="4" borderId="3" xfId="0" applyFill="1" applyBorder="1"/>
    <xf numFmtId="0" fontId="0" fillId="4" borderId="12" xfId="0" applyFill="1" applyBorder="1"/>
    <xf numFmtId="0" fontId="0" fillId="4" borderId="13" xfId="0" applyFill="1" applyBorder="1" applyAlignment="1">
      <alignment horizontal="center"/>
    </xf>
    <xf numFmtId="0" fontId="0" fillId="4" borderId="14" xfId="0" applyFill="1" applyBorder="1" applyAlignment="1">
      <alignment horizontal="center"/>
    </xf>
    <xf numFmtId="0" fontId="0" fillId="4" borderId="5" xfId="0" applyFill="1" applyBorder="1"/>
    <xf numFmtId="0" fontId="0" fillId="4" borderId="6" xfId="0" applyFill="1" applyBorder="1"/>
    <xf numFmtId="0" fontId="0" fillId="4" borderId="7" xfId="0" applyFill="1" applyBorder="1"/>
    <xf numFmtId="0" fontId="0" fillId="4" borderId="18" xfId="0" applyFill="1" applyBorder="1"/>
    <xf numFmtId="0" fontId="0" fillId="4" borderId="22" xfId="0" applyFill="1" applyBorder="1" applyAlignment="1">
      <alignment horizontal="center"/>
    </xf>
    <xf numFmtId="0" fontId="0" fillId="4" borderId="8" xfId="0" applyFill="1" applyBorder="1"/>
    <xf numFmtId="0" fontId="0" fillId="4" borderId="8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19" xfId="0" applyFill="1" applyBorder="1" applyAlignment="1">
      <alignment horizontal="center"/>
    </xf>
    <xf numFmtId="0" fontId="0" fillId="4" borderId="4" xfId="0" applyFill="1" applyBorder="1"/>
    <xf numFmtId="0" fontId="0" fillId="4" borderId="4" xfId="0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0" fillId="4" borderId="20" xfId="0" applyFill="1" applyBorder="1" applyAlignment="1">
      <alignment horizontal="center"/>
    </xf>
    <xf numFmtId="0" fontId="0" fillId="4" borderId="22" xfId="0" applyFill="1" applyBorder="1"/>
    <xf numFmtId="0" fontId="0" fillId="4" borderId="9" xfId="0" applyFill="1" applyBorder="1"/>
    <xf numFmtId="0" fontId="0" fillId="4" borderId="20" xfId="0" applyFill="1" applyBorder="1" applyAlignment="1">
      <alignment horizontal="left"/>
    </xf>
    <xf numFmtId="1" fontId="0" fillId="4" borderId="22" xfId="0" applyNumberFormat="1" applyFill="1" applyBorder="1" applyAlignment="1">
      <alignment horizontal="center"/>
    </xf>
    <xf numFmtId="9" fontId="0" fillId="4" borderId="4" xfId="0" applyNumberFormat="1" applyFill="1" applyBorder="1" applyAlignment="1">
      <alignment horizontal="center"/>
    </xf>
    <xf numFmtId="9" fontId="0" fillId="4" borderId="20" xfId="0" applyNumberFormat="1" applyFill="1" applyBorder="1" applyAlignment="1">
      <alignment horizontal="center"/>
    </xf>
    <xf numFmtId="0" fontId="0" fillId="4" borderId="21" xfId="0" applyFill="1" applyBorder="1" applyAlignment="1">
      <alignment horizontal="left"/>
    </xf>
    <xf numFmtId="1" fontId="0" fillId="4" borderId="17" xfId="0" applyNumberFormat="1" applyFill="1" applyBorder="1" applyAlignment="1">
      <alignment horizontal="center"/>
    </xf>
    <xf numFmtId="0" fontId="0" fillId="4" borderId="24" xfId="0" applyFill="1" applyBorder="1" applyAlignment="1">
      <alignment horizontal="center"/>
    </xf>
    <xf numFmtId="0" fontId="0" fillId="4" borderId="26" xfId="0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3" fillId="4" borderId="9" xfId="0" applyFont="1" applyFill="1" applyBorder="1"/>
    <xf numFmtId="0" fontId="0" fillId="4" borderId="10" xfId="0" applyFill="1" applyBorder="1"/>
    <xf numFmtId="9" fontId="0" fillId="4" borderId="5" xfId="0" applyNumberFormat="1" applyFill="1" applyBorder="1" applyAlignment="1">
      <alignment horizontal="center"/>
    </xf>
    <xf numFmtId="0" fontId="0" fillId="4" borderId="15" xfId="0" applyFill="1" applyBorder="1"/>
    <xf numFmtId="9" fontId="0" fillId="4" borderId="21" xfId="0" applyNumberFormat="1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9" fontId="0" fillId="4" borderId="8" xfId="1" applyFont="1" applyFill="1" applyBorder="1" applyAlignment="1">
      <alignment horizontal="center"/>
    </xf>
    <xf numFmtId="0" fontId="0" fillId="4" borderId="19" xfId="0" applyFill="1" applyBorder="1"/>
    <xf numFmtId="0" fontId="0" fillId="4" borderId="3" xfId="0" applyFill="1" applyBorder="1" applyAlignment="1">
      <alignment horizontal="center"/>
    </xf>
    <xf numFmtId="0" fontId="0" fillId="4" borderId="25" xfId="0" applyFill="1" applyBorder="1"/>
    <xf numFmtId="9" fontId="0" fillId="4" borderId="9" xfId="1" applyFont="1" applyFill="1" applyBorder="1" applyAlignment="1">
      <alignment horizontal="center"/>
    </xf>
    <xf numFmtId="0" fontId="0" fillId="4" borderId="20" xfId="0" applyFill="1" applyBorder="1"/>
    <xf numFmtId="0" fontId="0" fillId="4" borderId="11" xfId="0" applyFill="1" applyBorder="1" applyAlignment="1">
      <alignment horizontal="center"/>
    </xf>
    <xf numFmtId="164" fontId="0" fillId="4" borderId="10" xfId="0" applyNumberFormat="1" applyFill="1" applyBorder="1" applyAlignment="1">
      <alignment horizontal="center"/>
    </xf>
    <xf numFmtId="1" fontId="0" fillId="4" borderId="6" xfId="0" applyNumberFormat="1" applyFill="1" applyBorder="1" applyAlignment="1">
      <alignment horizontal="center"/>
    </xf>
    <xf numFmtId="1" fontId="0" fillId="4" borderId="7" xfId="0" applyNumberFormat="1" applyFill="1" applyBorder="1" applyAlignment="1">
      <alignment horizontal="center"/>
    </xf>
    <xf numFmtId="9" fontId="0" fillId="4" borderId="11" xfId="0" applyNumberFormat="1" applyFill="1" applyBorder="1" applyAlignment="1">
      <alignment horizontal="center"/>
    </xf>
    <xf numFmtId="0" fontId="3" fillId="4" borderId="11" xfId="0" applyFont="1" applyFill="1" applyBorder="1" applyAlignment="1">
      <alignment horizontal="center"/>
    </xf>
    <xf numFmtId="9" fontId="0" fillId="4" borderId="7" xfId="0" applyNumberFormat="1" applyFill="1" applyBorder="1" applyAlignment="1">
      <alignment horizontal="center"/>
    </xf>
    <xf numFmtId="10" fontId="0" fillId="4" borderId="8" xfId="1" applyNumberFormat="1" applyFont="1" applyFill="1" applyBorder="1"/>
    <xf numFmtId="10" fontId="0" fillId="4" borderId="9" xfId="1" applyNumberFormat="1" applyFont="1" applyFill="1" applyBorder="1"/>
    <xf numFmtId="164" fontId="0" fillId="4" borderId="10" xfId="0" applyNumberFormat="1" applyFill="1" applyBorder="1"/>
    <xf numFmtId="0" fontId="0" fillId="4" borderId="13" xfId="0" applyFill="1" applyBorder="1"/>
    <xf numFmtId="0" fontId="0" fillId="4" borderId="14" xfId="0" applyFill="1" applyBorder="1"/>
    <xf numFmtId="0" fontId="0" fillId="4" borderId="16" xfId="0" applyFill="1" applyBorder="1"/>
    <xf numFmtId="0" fontId="0" fillId="4" borderId="17" xfId="0" applyFill="1" applyBorder="1"/>
    <xf numFmtId="0" fontId="0" fillId="4" borderId="22" xfId="0" applyFill="1" applyBorder="1" applyAlignment="1">
      <alignment horizontal="left"/>
    </xf>
    <xf numFmtId="0" fontId="0" fillId="4" borderId="17" xfId="0" applyFill="1" applyBorder="1" applyAlignment="1">
      <alignment horizontal="left"/>
    </xf>
    <xf numFmtId="0" fontId="0" fillId="4" borderId="21" xfId="0" applyFill="1" applyBorder="1"/>
    <xf numFmtId="0" fontId="0" fillId="4" borderId="2" xfId="0" applyFill="1" applyBorder="1"/>
    <xf numFmtId="0" fontId="0" fillId="4" borderId="0" xfId="0" applyFill="1"/>
    <xf numFmtId="0" fontId="0" fillId="4" borderId="11" xfId="0" applyFill="1" applyBorder="1"/>
    <xf numFmtId="0" fontId="0" fillId="4" borderId="28" xfId="0" applyFill="1" applyBorder="1" applyAlignment="1">
      <alignment horizontal="center"/>
    </xf>
    <xf numFmtId="0" fontId="0" fillId="4" borderId="0" xfId="0" applyFill="1" applyAlignment="1">
      <alignment horizontal="center"/>
    </xf>
    <xf numFmtId="1" fontId="0" fillId="4" borderId="11" xfId="0" applyNumberFormat="1" applyFill="1" applyBorder="1" applyAlignment="1">
      <alignment horizontal="center"/>
    </xf>
    <xf numFmtId="1" fontId="0" fillId="4" borderId="29" xfId="0" applyNumberFormat="1" applyFill="1" applyBorder="1" applyAlignment="1">
      <alignment horizontal="center"/>
    </xf>
    <xf numFmtId="0" fontId="0" fillId="3" borderId="30" xfId="0" applyFill="1" applyBorder="1"/>
    <xf numFmtId="0" fontId="0" fillId="3" borderId="28" xfId="0" applyFill="1" applyBorder="1"/>
    <xf numFmtId="0" fontId="0" fillId="3" borderId="31" xfId="0" applyFill="1" applyBorder="1"/>
    <xf numFmtId="0" fontId="0" fillId="3" borderId="29" xfId="0" applyFill="1" applyBorder="1"/>
    <xf numFmtId="0" fontId="0" fillId="3" borderId="4" xfId="0" applyFill="1" applyBorder="1"/>
    <xf numFmtId="0" fontId="0" fillId="3" borderId="0" xfId="0" applyFill="1"/>
    <xf numFmtId="0" fontId="0" fillId="3" borderId="11" xfId="0" applyFill="1" applyBorder="1"/>
    <xf numFmtId="0" fontId="0" fillId="4" borderId="32" xfId="0" applyFill="1" applyBorder="1"/>
    <xf numFmtId="0" fontId="4" fillId="4" borderId="0" xfId="0" applyFont="1" applyFill="1"/>
    <xf numFmtId="0" fontId="0" fillId="4" borderId="10" xfId="0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4" xfId="0" applyBorder="1"/>
    <xf numFmtId="2" fontId="0" fillId="0" borderId="9" xfId="0" applyNumberFormat="1" applyBorder="1" applyAlignment="1">
      <alignment horizontal="center"/>
    </xf>
    <xf numFmtId="1" fontId="0" fillId="4" borderId="13" xfId="0" applyNumberFormat="1" applyFill="1" applyBorder="1" applyAlignment="1">
      <alignment horizontal="center"/>
    </xf>
    <xf numFmtId="1" fontId="0" fillId="4" borderId="16" xfId="0" applyNumberFormat="1" applyFill="1" applyBorder="1" applyAlignment="1">
      <alignment horizontal="center"/>
    </xf>
    <xf numFmtId="0" fontId="0" fillId="4" borderId="24" xfId="0" applyFill="1" applyBorder="1"/>
    <xf numFmtId="0" fontId="0" fillId="5" borderId="1" xfId="0" applyFill="1" applyBorder="1"/>
    <xf numFmtId="0" fontId="0" fillId="5" borderId="2" xfId="0" applyFill="1" applyBorder="1"/>
    <xf numFmtId="0" fontId="0" fillId="5" borderId="3" xfId="0" applyFill="1" applyBorder="1"/>
    <xf numFmtId="0" fontId="0" fillId="5" borderId="5" xfId="0" applyFill="1" applyBorder="1"/>
    <xf numFmtId="0" fontId="0" fillId="5" borderId="6" xfId="0" applyFill="1" applyBorder="1"/>
    <xf numFmtId="0" fontId="0" fillId="5" borderId="7" xfId="0" applyFill="1" applyBorder="1"/>
    <xf numFmtId="1" fontId="0" fillId="4" borderId="13" xfId="0" applyNumberFormat="1" applyFill="1" applyBorder="1"/>
    <xf numFmtId="1" fontId="0" fillId="4" borderId="6" xfId="0" applyNumberFormat="1" applyFill="1" applyBorder="1"/>
    <xf numFmtId="1" fontId="0" fillId="4" borderId="24" xfId="0" applyNumberFormat="1" applyFill="1" applyBorder="1" applyAlignment="1">
      <alignment horizontal="center"/>
    </xf>
    <xf numFmtId="2" fontId="0" fillId="4" borderId="10" xfId="0" applyNumberFormat="1" applyFill="1" applyBorder="1" applyAlignment="1">
      <alignment horizontal="center"/>
    </xf>
    <xf numFmtId="1" fontId="0" fillId="4" borderId="10" xfId="0" applyNumberFormat="1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4" borderId="26" xfId="0" applyFill="1" applyBorder="1"/>
    <xf numFmtId="0" fontId="0" fillId="2" borderId="8" xfId="0" applyFill="1" applyBorder="1"/>
    <xf numFmtId="0" fontId="0" fillId="2" borderId="1" xfId="0" applyFill="1" applyBorder="1"/>
    <xf numFmtId="0" fontId="0" fillId="2" borderId="2" xfId="0" applyFill="1" applyBorder="1" applyAlignment="1">
      <alignment horizontal="center"/>
    </xf>
    <xf numFmtId="0" fontId="0" fillId="2" borderId="3" xfId="0" applyFill="1" applyBorder="1"/>
    <xf numFmtId="0" fontId="0" fillId="2" borderId="12" xfId="0" applyFill="1" applyBorder="1"/>
    <xf numFmtId="0" fontId="0" fillId="2" borderId="13" xfId="0" applyFill="1" applyBorder="1" applyAlignment="1">
      <alignment horizontal="center"/>
    </xf>
    <xf numFmtId="0" fontId="0" fillId="2" borderId="28" xfId="0" applyFill="1" applyBorder="1" applyAlignment="1">
      <alignment horizontal="center"/>
    </xf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18" xfId="0" applyFill="1" applyBorder="1"/>
    <xf numFmtId="0" fontId="0" fillId="2" borderId="0" xfId="0" applyFill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9" xfId="0" applyFill="1" applyBorder="1"/>
    <xf numFmtId="0" fontId="3" fillId="2" borderId="9" xfId="0" applyFont="1" applyFill="1" applyBorder="1"/>
    <xf numFmtId="0" fontId="0" fillId="2" borderId="10" xfId="0" applyFill="1" applyBorder="1"/>
    <xf numFmtId="0" fontId="0" fillId="2" borderId="15" xfId="0" applyFill="1" applyBorder="1"/>
    <xf numFmtId="0" fontId="0" fillId="2" borderId="22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13" xfId="0" applyFill="1" applyBorder="1"/>
    <xf numFmtId="0" fontId="0" fillId="2" borderId="33" xfId="0" applyFill="1" applyBorder="1"/>
    <xf numFmtId="0" fontId="0" fillId="2" borderId="2" xfId="0" applyFill="1" applyBorder="1"/>
    <xf numFmtId="0" fontId="0" fillId="2" borderId="34" xfId="0" applyFill="1" applyBorder="1"/>
    <xf numFmtId="0" fontId="0" fillId="2" borderId="30" xfId="0" applyFill="1" applyBorder="1"/>
    <xf numFmtId="0" fontId="0" fillId="2" borderId="4" xfId="0" applyFill="1" applyBorder="1"/>
    <xf numFmtId="1" fontId="0" fillId="4" borderId="5" xfId="0" applyNumberFormat="1" applyFill="1" applyBorder="1" applyAlignment="1">
      <alignment horizontal="center"/>
    </xf>
    <xf numFmtId="1" fontId="0" fillId="4" borderId="2" xfId="0" applyNumberFormat="1" applyFill="1" applyBorder="1" applyAlignment="1">
      <alignment horizontal="center"/>
    </xf>
    <xf numFmtId="1" fontId="0" fillId="4" borderId="0" xfId="0" applyNumberFormat="1" applyFill="1" applyAlignment="1">
      <alignment horizontal="center"/>
    </xf>
    <xf numFmtId="2" fontId="0" fillId="4" borderId="6" xfId="0" applyNumberFormat="1" applyFill="1" applyBorder="1" applyAlignment="1">
      <alignment horizontal="center"/>
    </xf>
    <xf numFmtId="0" fontId="0" fillId="5" borderId="0" xfId="0" applyFill="1"/>
    <xf numFmtId="1" fontId="0" fillId="4" borderId="0" xfId="0" applyNumberFormat="1" applyFill="1"/>
    <xf numFmtId="1" fontId="0" fillId="0" borderId="27" xfId="0" applyNumberFormat="1" applyBorder="1" applyAlignment="1">
      <alignment horizontal="center"/>
    </xf>
    <xf numFmtId="1" fontId="0" fillId="4" borderId="8" xfId="0" applyNumberFormat="1" applyFill="1" applyBorder="1" applyAlignment="1">
      <alignment horizontal="center"/>
    </xf>
    <xf numFmtId="1" fontId="0" fillId="4" borderId="9" xfId="0" applyNumberFormat="1" applyFill="1" applyBorder="1" applyAlignment="1">
      <alignment horizontal="center"/>
    </xf>
    <xf numFmtId="2" fontId="0" fillId="4" borderId="8" xfId="1" applyNumberFormat="1" applyFont="1" applyFill="1" applyBorder="1" applyAlignment="1">
      <alignment horizontal="center"/>
    </xf>
    <xf numFmtId="2" fontId="0" fillId="4" borderId="9" xfId="1" applyNumberFormat="1" applyFont="1" applyFill="1" applyBorder="1" applyAlignment="1">
      <alignment horizontal="center"/>
    </xf>
    <xf numFmtId="2" fontId="0" fillId="4" borderId="10" xfId="1" applyNumberFormat="1" applyFont="1" applyFill="1" applyBorder="1" applyAlignment="1">
      <alignment horizontal="center"/>
    </xf>
    <xf numFmtId="0" fontId="0" fillId="2" borderId="23" xfId="0" applyFill="1" applyBorder="1" applyAlignment="1">
      <alignment horizontal="center" vertical="center"/>
    </xf>
    <xf numFmtId="0" fontId="0" fillId="2" borderId="35" xfId="0" applyFill="1" applyBorder="1"/>
    <xf numFmtId="0" fontId="0" fillId="2" borderId="36" xfId="0" applyFill="1" applyBorder="1" applyAlignment="1">
      <alignment horizontal="center" vertical="center"/>
    </xf>
    <xf numFmtId="1" fontId="0" fillId="0" borderId="9" xfId="0" applyNumberFormat="1" applyBorder="1" applyAlignment="1">
      <alignment horizontal="center" vertical="center"/>
    </xf>
    <xf numFmtId="0" fontId="5" fillId="4" borderId="6" xfId="0" applyFont="1" applyFill="1" applyBorder="1" applyAlignment="1">
      <alignment horizontal="center"/>
    </xf>
    <xf numFmtId="1" fontId="5" fillId="4" borderId="6" xfId="0" applyNumberFormat="1" applyFont="1" applyFill="1" applyBorder="1" applyAlignment="1">
      <alignment horizontal="center"/>
    </xf>
    <xf numFmtId="164" fontId="5" fillId="4" borderId="10" xfId="0" applyNumberFormat="1" applyFont="1" applyFill="1" applyBorder="1" applyAlignment="1">
      <alignment horizontal="center"/>
    </xf>
    <xf numFmtId="1" fontId="5" fillId="4" borderId="26" xfId="0" applyNumberFormat="1" applyFont="1" applyFill="1" applyBorder="1"/>
    <xf numFmtId="1" fontId="5" fillId="4" borderId="26" xfId="0" applyNumberFormat="1" applyFont="1" applyFill="1" applyBorder="1" applyAlignment="1">
      <alignment horizontal="center"/>
    </xf>
    <xf numFmtId="1" fontId="0" fillId="0" borderId="8" xfId="0" applyNumberFormat="1" applyBorder="1" applyAlignment="1">
      <alignment horizontal="center"/>
    </xf>
    <xf numFmtId="1" fontId="0" fillId="0" borderId="9" xfId="0" applyNumberFormat="1" applyBorder="1" applyAlignment="1">
      <alignment horizontal="center"/>
    </xf>
    <xf numFmtId="1" fontId="0" fillId="0" borderId="10" xfId="0" applyNumberFormat="1" applyBorder="1" applyAlignment="1">
      <alignment horizontal="center"/>
    </xf>
    <xf numFmtId="10" fontId="0" fillId="0" borderId="26" xfId="1" applyNumberFormat="1" applyFont="1" applyBorder="1" applyAlignment="1">
      <alignment horizontal="center"/>
    </xf>
    <xf numFmtId="10" fontId="0" fillId="4" borderId="26" xfId="1" applyNumberFormat="1" applyFont="1" applyFill="1" applyBorder="1" applyAlignment="1">
      <alignment horizontal="center"/>
    </xf>
    <xf numFmtId="0" fontId="0" fillId="0" borderId="0" xfId="1" applyNumberFormat="1" applyFont="1"/>
    <xf numFmtId="2" fontId="0" fillId="0" borderId="24" xfId="1" applyNumberFormat="1" applyFont="1" applyBorder="1" applyAlignment="1">
      <alignment horizontal="center"/>
    </xf>
    <xf numFmtId="0" fontId="0" fillId="2" borderId="26" xfId="0" applyFill="1" applyBorder="1"/>
  </cellXfs>
  <cellStyles count="3">
    <cellStyle name="Lien hypertexte" xfId="2" builtinId="8"/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BE"/>
              <a:t>Equivalent CO2/kWh fournit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'TEWI '!$AA$26:$AA$31</c:f>
              <c:strCache>
                <c:ptCount val="6"/>
                <c:pt idx="0">
                  <c:v>Pac réversible</c:v>
                </c:pt>
                <c:pt idx="1">
                  <c:v>Pac 4 Tubes</c:v>
                </c:pt>
                <c:pt idx="2">
                  <c:v>Chiller existant</c:v>
                </c:pt>
                <c:pt idx="3">
                  <c:v>feeder</c:v>
                </c:pt>
                <c:pt idx="4">
                  <c:v>Pac réversible</c:v>
                </c:pt>
                <c:pt idx="5">
                  <c:v>Chiller + désurchauffeur </c:v>
                </c:pt>
              </c:strCache>
            </c:strRef>
          </c:cat>
          <c:val>
            <c:numRef>
              <c:f>'TEWI '!$AB$26:$AB$31</c:f>
              <c:numCache>
                <c:formatCode>0.00</c:formatCode>
                <c:ptCount val="6"/>
                <c:pt idx="0">
                  <c:v>0.32540979781477603</c:v>
                </c:pt>
                <c:pt idx="1">
                  <c:v>0.27827575513783182</c:v>
                </c:pt>
                <c:pt idx="2">
                  <c:v>0.4200942575367041</c:v>
                </c:pt>
                <c:pt idx="3">
                  <c:v>0.82445156170758216</c:v>
                </c:pt>
                <c:pt idx="4">
                  <c:v>0.35273624005891802</c:v>
                </c:pt>
                <c:pt idx="5">
                  <c:v>0.31828553171386376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CF-4A3B-AD28-1D97FD7B2382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1402540656"/>
        <c:axId val="1402541136"/>
      </c:barChart>
      <c:catAx>
        <c:axId val="1402540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402541136"/>
        <c:crosses val="autoZero"/>
        <c:auto val="1"/>
        <c:lblAlgn val="ctr"/>
        <c:lblOffset val="100"/>
        <c:noMultiLvlLbl val="0"/>
      </c:catAx>
      <c:valAx>
        <c:axId val="1402541136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crossAx val="1402540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7931</xdr:colOff>
      <xdr:row>51</xdr:row>
      <xdr:rowOff>120209</xdr:rowOff>
    </xdr:from>
    <xdr:to>
      <xdr:col>25</xdr:col>
      <xdr:colOff>69272</xdr:colOff>
      <xdr:row>72</xdr:row>
      <xdr:rowOff>128349</xdr:rowOff>
    </xdr:to>
    <xdr:graphicFrame macro="">
      <xdr:nvGraphicFramePr>
        <xdr:cNvPr id="27" name="Graphique 26">
          <a:extLst>
            <a:ext uri="{FF2B5EF4-FFF2-40B4-BE49-F238E27FC236}">
              <a16:creationId xmlns:a16="http://schemas.microsoft.com/office/drawing/2014/main" id="{E6E43328-4589-828E-CC23-816651DFBA2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918A68-80F1-4E30-8524-0EB0E147129E}">
  <dimension ref="A1:AE81"/>
  <sheetViews>
    <sheetView tabSelected="1" topLeftCell="A63" zoomScale="82" zoomScaleNormal="55" workbookViewId="0">
      <selection activeCell="E46" sqref="E46"/>
    </sheetView>
  </sheetViews>
  <sheetFormatPr baseColWidth="10" defaultRowHeight="14.4" x14ac:dyDescent="0.3"/>
  <cols>
    <col min="2" max="2" width="48.88671875" customWidth="1"/>
    <col min="3" max="3" width="18.5546875" customWidth="1"/>
    <col min="4" max="4" width="10.109375" customWidth="1"/>
    <col min="5" max="5" width="42.33203125" customWidth="1"/>
    <col min="6" max="6" width="20" customWidth="1"/>
    <col min="7" max="7" width="22" customWidth="1"/>
    <col min="9" max="9" width="34.5546875" customWidth="1"/>
    <col min="10" max="10" width="22.6640625" customWidth="1"/>
    <col min="12" max="12" width="11.44140625" bestFit="1" customWidth="1"/>
    <col min="13" max="13" width="13" customWidth="1"/>
    <col min="14" max="14" width="19.109375" customWidth="1"/>
    <col min="15" max="15" width="37.21875" customWidth="1"/>
    <col min="19" max="19" width="31" customWidth="1"/>
    <col min="20" max="20" width="19.88671875" customWidth="1"/>
    <col min="21" max="21" width="19.44140625" customWidth="1"/>
    <col min="22" max="22" width="24.33203125" customWidth="1"/>
    <col min="23" max="23" width="27.33203125" customWidth="1"/>
    <col min="24" max="24" width="23.33203125" customWidth="1"/>
    <col min="25" max="25" width="24.109375" customWidth="1"/>
    <col min="26" max="26" width="18.21875" customWidth="1"/>
    <col min="27" max="27" width="31" customWidth="1"/>
    <col min="28" max="28" width="35.88671875" customWidth="1"/>
    <col min="29" max="29" width="34" customWidth="1"/>
    <col min="30" max="30" width="31.109375" customWidth="1"/>
    <col min="31" max="31" width="20.77734375" customWidth="1"/>
    <col min="33" max="33" width="19.44140625" customWidth="1"/>
    <col min="34" max="34" width="27.77734375" customWidth="1"/>
    <col min="36" max="36" width="24.109375" customWidth="1"/>
    <col min="37" max="37" width="15.6640625" customWidth="1"/>
  </cols>
  <sheetData>
    <row r="1" spans="1:31" x14ac:dyDescent="0.3">
      <c r="A1" s="27"/>
      <c r="B1" s="86"/>
      <c r="C1" s="86"/>
      <c r="D1" s="86"/>
      <c r="E1" s="86"/>
      <c r="F1" s="86"/>
      <c r="G1" s="86"/>
      <c r="H1" s="86"/>
      <c r="I1" s="86"/>
      <c r="J1" s="29"/>
      <c r="L1" s="27"/>
      <c r="M1" s="86"/>
      <c r="N1" s="86"/>
      <c r="O1" s="29"/>
      <c r="Q1" s="27"/>
      <c r="R1" s="86"/>
      <c r="S1" s="86"/>
      <c r="T1" s="86"/>
      <c r="U1" s="86"/>
      <c r="V1" s="86"/>
      <c r="W1" s="86"/>
      <c r="X1" s="86"/>
      <c r="Y1" s="29"/>
    </row>
    <row r="2" spans="1:31" x14ac:dyDescent="0.3">
      <c r="A2" s="42"/>
      <c r="B2" s="87"/>
      <c r="C2" s="87"/>
      <c r="D2" s="87"/>
      <c r="E2" s="87"/>
      <c r="F2" s="87"/>
      <c r="G2" s="87"/>
      <c r="H2" s="87"/>
      <c r="I2" s="87"/>
      <c r="J2" s="88"/>
      <c r="L2" s="42"/>
      <c r="M2" s="87"/>
      <c r="N2" s="87"/>
      <c r="O2" s="88"/>
      <c r="Q2" s="42" t="s">
        <v>61</v>
      </c>
      <c r="R2" s="87"/>
      <c r="S2" s="21" t="s">
        <v>18</v>
      </c>
      <c r="T2" s="25" t="s">
        <v>52</v>
      </c>
      <c r="U2" s="25" t="s">
        <v>53</v>
      </c>
      <c r="V2" s="25" t="s">
        <v>54</v>
      </c>
      <c r="W2" s="25" t="s">
        <v>55</v>
      </c>
      <c r="X2" s="25" t="s">
        <v>56</v>
      </c>
      <c r="Y2" s="25" t="s">
        <v>57</v>
      </c>
    </row>
    <row r="3" spans="1:31" x14ac:dyDescent="0.3">
      <c r="A3" s="42"/>
      <c r="B3" s="87"/>
      <c r="C3" s="127"/>
      <c r="D3" s="128" t="s">
        <v>2</v>
      </c>
      <c r="E3" s="129"/>
      <c r="F3" s="130"/>
      <c r="G3" s="131"/>
      <c r="H3" s="131" t="s">
        <v>27</v>
      </c>
      <c r="I3" s="131"/>
      <c r="J3" s="132"/>
      <c r="L3" s="42"/>
      <c r="M3" s="130"/>
      <c r="N3" s="145" t="s">
        <v>36</v>
      </c>
      <c r="O3" s="26" t="s">
        <v>80</v>
      </c>
      <c r="Q3" s="42"/>
      <c r="R3" s="87"/>
      <c r="S3" s="119">
        <v>256283.78844067876</v>
      </c>
      <c r="T3" s="120">
        <v>91.723312024452127</v>
      </c>
      <c r="U3" s="120">
        <v>20065.12213039069</v>
      </c>
      <c r="V3" s="120">
        <v>82938.711557932955</v>
      </c>
      <c r="W3" s="120">
        <v>10795.684221500684</v>
      </c>
      <c r="X3" s="120">
        <v>12275.109020538999</v>
      </c>
      <c r="Y3" s="120">
        <v>17845.702162079633</v>
      </c>
    </row>
    <row r="4" spans="1:31" x14ac:dyDescent="0.3">
      <c r="A4" s="42"/>
      <c r="B4" s="87"/>
      <c r="C4" s="133"/>
      <c r="D4" s="134"/>
      <c r="E4" s="135"/>
      <c r="F4" s="136"/>
      <c r="G4" s="137"/>
      <c r="H4" s="137"/>
      <c r="I4" s="137"/>
      <c r="J4" s="138"/>
      <c r="L4" s="42"/>
      <c r="M4" s="130" t="s">
        <v>34</v>
      </c>
      <c r="N4" s="107">
        <f>J7</f>
        <v>426855.69620253163</v>
      </c>
      <c r="O4" s="63">
        <f>N4/N6</f>
        <v>0.73092893256384239</v>
      </c>
      <c r="Q4" s="42"/>
      <c r="R4" s="87"/>
      <c r="S4" s="87"/>
      <c r="T4" s="87"/>
      <c r="U4" s="87"/>
      <c r="V4" s="87"/>
      <c r="W4" s="87"/>
      <c r="X4" s="87"/>
      <c r="Y4" s="88"/>
    </row>
    <row r="5" spans="1:31" x14ac:dyDescent="0.3">
      <c r="A5" s="42"/>
      <c r="B5" s="38" t="s">
        <v>7</v>
      </c>
      <c r="C5" s="90" t="s">
        <v>23</v>
      </c>
      <c r="D5" s="4"/>
      <c r="E5" s="40" t="s">
        <v>24</v>
      </c>
      <c r="F5" s="130"/>
      <c r="G5" s="41" t="s">
        <v>26</v>
      </c>
      <c r="H5" s="131"/>
      <c r="I5" s="41"/>
      <c r="J5" s="89" t="s">
        <v>18</v>
      </c>
      <c r="L5" s="42"/>
      <c r="M5" s="136" t="s">
        <v>35</v>
      </c>
      <c r="N5" s="90">
        <f>(C13+E13+G13)*2.5</f>
        <v>157135</v>
      </c>
      <c r="O5" s="67">
        <f>N5/N6</f>
        <v>0.26907106743615755</v>
      </c>
      <c r="Q5" s="42"/>
      <c r="R5" s="87"/>
      <c r="S5" s="87"/>
      <c r="T5" s="87"/>
      <c r="U5" s="87"/>
      <c r="V5" s="87"/>
      <c r="W5" s="87"/>
      <c r="X5" s="87"/>
      <c r="Y5" s="88"/>
      <c r="AE5" s="10"/>
    </row>
    <row r="6" spans="1:31" x14ac:dyDescent="0.3">
      <c r="A6" s="42"/>
      <c r="B6" s="42" t="s">
        <v>8</v>
      </c>
      <c r="C6" s="43" t="s">
        <v>10</v>
      </c>
      <c r="D6" s="5"/>
      <c r="E6" s="43" t="s">
        <v>9</v>
      </c>
      <c r="F6" s="136"/>
      <c r="G6" s="45" t="s">
        <v>17</v>
      </c>
      <c r="H6" s="137"/>
      <c r="I6" s="45"/>
      <c r="J6" s="88" t="s">
        <v>30</v>
      </c>
      <c r="L6" s="42"/>
      <c r="M6" s="142" t="s">
        <v>37</v>
      </c>
      <c r="N6" s="108">
        <f>N4+N5</f>
        <v>583990.69620253169</v>
      </c>
      <c r="O6" s="58"/>
      <c r="Q6" s="42"/>
      <c r="R6" s="87"/>
      <c r="S6" s="87"/>
      <c r="T6" s="87"/>
      <c r="U6" s="87"/>
      <c r="V6" s="87"/>
      <c r="W6" s="87"/>
      <c r="X6" s="87"/>
      <c r="Y6" s="88"/>
    </row>
    <row r="7" spans="1:31" x14ac:dyDescent="0.3">
      <c r="A7" s="42"/>
      <c r="B7" s="47" t="s">
        <v>1</v>
      </c>
      <c r="C7" s="43" t="s">
        <v>0</v>
      </c>
      <c r="D7" s="5"/>
      <c r="E7" s="43" t="s">
        <v>0</v>
      </c>
      <c r="F7" s="136"/>
      <c r="G7" s="45" t="s">
        <v>25</v>
      </c>
      <c r="H7" s="137"/>
      <c r="I7" s="48" t="s">
        <v>16</v>
      </c>
      <c r="J7" s="91">
        <f>337216/0.79</f>
        <v>426855.69620253163</v>
      </c>
      <c r="L7" s="42"/>
      <c r="M7" s="87"/>
      <c r="N7" s="87"/>
      <c r="O7" s="88"/>
      <c r="Q7" s="42"/>
      <c r="R7" s="87"/>
      <c r="S7" s="87"/>
      <c r="T7" s="87"/>
      <c r="U7" s="87"/>
      <c r="V7" s="87"/>
      <c r="W7" s="87"/>
      <c r="X7" s="87"/>
      <c r="Y7" s="88"/>
      <c r="AA7" s="126" t="s">
        <v>43</v>
      </c>
    </row>
    <row r="8" spans="1:31" x14ac:dyDescent="0.3">
      <c r="A8" s="42"/>
      <c r="B8" s="47" t="s">
        <v>5</v>
      </c>
      <c r="C8" s="43">
        <v>467</v>
      </c>
      <c r="D8" s="139"/>
      <c r="E8" s="43">
        <v>467</v>
      </c>
      <c r="F8" s="136"/>
      <c r="G8" s="45">
        <v>2088</v>
      </c>
      <c r="H8" s="137"/>
      <c r="I8" s="48" t="s">
        <v>29</v>
      </c>
      <c r="J8" s="69">
        <v>1</v>
      </c>
      <c r="L8" s="42"/>
      <c r="M8" s="87"/>
      <c r="N8" s="87"/>
      <c r="O8" s="88"/>
      <c r="Q8" s="42"/>
      <c r="R8" s="87"/>
      <c r="S8" s="87"/>
      <c r="T8" s="87"/>
      <c r="U8" s="87"/>
      <c r="V8" s="87"/>
      <c r="W8" s="87"/>
      <c r="X8" s="87"/>
      <c r="Y8" s="88"/>
      <c r="AA8" s="126" t="s">
        <v>39</v>
      </c>
      <c r="AB8" s="172">
        <f>C72+F69</f>
        <v>16419578.02</v>
      </c>
    </row>
    <row r="9" spans="1:31" x14ac:dyDescent="0.3">
      <c r="A9" s="42"/>
      <c r="B9" s="47" t="s">
        <v>77</v>
      </c>
      <c r="C9" s="50">
        <v>0.05</v>
      </c>
      <c r="D9" s="139"/>
      <c r="E9" s="50">
        <v>0.05</v>
      </c>
      <c r="F9" s="136"/>
      <c r="G9" s="51">
        <v>0.05</v>
      </c>
      <c r="H9" s="137"/>
      <c r="I9" s="52" t="s">
        <v>28</v>
      </c>
      <c r="J9" s="92">
        <f>J7*J8</f>
        <v>426855.69620253163</v>
      </c>
      <c r="L9" s="42"/>
      <c r="M9" s="87"/>
      <c r="N9" s="87"/>
      <c r="O9" s="88"/>
      <c r="Q9" s="42"/>
      <c r="R9" s="87"/>
      <c r="S9" s="122" t="s">
        <v>64</v>
      </c>
      <c r="T9" s="123" t="s">
        <v>65</v>
      </c>
      <c r="U9" s="126" t="s">
        <v>81</v>
      </c>
      <c r="V9" s="26" t="s">
        <v>82</v>
      </c>
      <c r="W9" s="87"/>
      <c r="X9" s="87"/>
      <c r="Y9" s="88"/>
      <c r="AA9" s="139" t="s">
        <v>40</v>
      </c>
      <c r="AB9" s="173">
        <f>C46+E46+G46+J19</f>
        <v>2548495.566202532</v>
      </c>
    </row>
    <row r="10" spans="1:31" x14ac:dyDescent="0.3">
      <c r="A10" s="42"/>
      <c r="B10" s="47" t="s">
        <v>3</v>
      </c>
      <c r="C10" s="43">
        <v>25</v>
      </c>
      <c r="D10" s="139"/>
      <c r="E10" s="43">
        <v>25</v>
      </c>
      <c r="F10" s="136"/>
      <c r="G10" s="45">
        <v>25</v>
      </c>
      <c r="H10" s="143"/>
      <c r="I10" s="48" t="s">
        <v>79</v>
      </c>
      <c r="J10" s="69">
        <v>25</v>
      </c>
      <c r="L10" s="42"/>
      <c r="M10" s="87"/>
      <c r="N10" s="87"/>
      <c r="O10" s="88"/>
      <c r="Q10" s="42"/>
      <c r="R10" s="87"/>
      <c r="S10" s="39" t="s">
        <v>45</v>
      </c>
      <c r="T10" s="65">
        <f>C46</f>
        <v>65592.350000000006</v>
      </c>
      <c r="U10" s="158">
        <f>T3+U3</f>
        <v>20156.845442415142</v>
      </c>
      <c r="V10" s="160">
        <f>(T10/10)/U10</f>
        <v>0.32540979781477603</v>
      </c>
      <c r="W10" s="87"/>
      <c r="X10" s="87"/>
      <c r="Y10" s="88"/>
      <c r="AA10" s="141" t="s">
        <v>41</v>
      </c>
      <c r="AB10" s="174">
        <f>C22+E22+G22+J19</f>
        <v>2592971.816202532</v>
      </c>
    </row>
    <row r="11" spans="1:31" x14ac:dyDescent="0.3">
      <c r="A11" s="42"/>
      <c r="B11" s="47" t="s">
        <v>78</v>
      </c>
      <c r="C11" s="43">
        <v>40</v>
      </c>
      <c r="D11" s="139"/>
      <c r="E11" s="43">
        <v>34</v>
      </c>
      <c r="F11" s="136"/>
      <c r="G11" s="45">
        <v>32.700000000000003</v>
      </c>
      <c r="H11" s="143"/>
      <c r="I11" s="54" t="s">
        <v>76</v>
      </c>
      <c r="J11" s="55">
        <v>0.19800000000000001</v>
      </c>
      <c r="L11" s="42"/>
      <c r="M11" s="87"/>
      <c r="N11" s="87"/>
      <c r="O11" s="88"/>
      <c r="Q11" s="42"/>
      <c r="R11" s="87"/>
      <c r="S11" s="44" t="s">
        <v>46</v>
      </c>
      <c r="T11" s="91">
        <f>E46</f>
        <v>294998.74999999994</v>
      </c>
      <c r="U11" s="159">
        <f>V3+W3+X3</f>
        <v>106009.50479997264</v>
      </c>
      <c r="V11" s="161">
        <f>(T11/10)/U11</f>
        <v>0.27827575513783182</v>
      </c>
      <c r="W11" s="87"/>
      <c r="X11" s="87"/>
      <c r="Y11" s="88"/>
      <c r="AB11" s="12"/>
    </row>
    <row r="12" spans="1:31" x14ac:dyDescent="0.3">
      <c r="A12" s="42"/>
      <c r="B12" s="42" t="s">
        <v>22</v>
      </c>
      <c r="C12" s="56">
        <v>0.28999999999999998</v>
      </c>
      <c r="D12" s="140"/>
      <c r="E12" s="56">
        <v>0.28999999999999998</v>
      </c>
      <c r="F12" s="136"/>
      <c r="G12" s="45">
        <v>0.28999999999999998</v>
      </c>
      <c r="H12" s="143"/>
      <c r="I12" s="90"/>
      <c r="J12" s="69"/>
      <c r="L12" s="42"/>
      <c r="M12" s="87"/>
      <c r="N12" s="87"/>
      <c r="O12" s="88"/>
      <c r="Q12" s="42"/>
      <c r="R12" s="87"/>
      <c r="S12" s="44" t="s">
        <v>48</v>
      </c>
      <c r="T12" s="91">
        <f>G46</f>
        <v>74968.76999999999</v>
      </c>
      <c r="U12" s="159">
        <f>Y3</f>
        <v>17845.702162079633</v>
      </c>
      <c r="V12" s="161">
        <f>(T12/10)/U12</f>
        <v>0.4200942575367041</v>
      </c>
      <c r="W12" s="87"/>
      <c r="X12" s="87"/>
      <c r="Y12" s="88"/>
    </row>
    <row r="13" spans="1:31" x14ac:dyDescent="0.3">
      <c r="A13" s="42"/>
      <c r="B13" s="42" t="s">
        <v>16</v>
      </c>
      <c r="C13" s="43">
        <v>6419</v>
      </c>
      <c r="D13" s="139"/>
      <c r="E13" s="43">
        <v>54313</v>
      </c>
      <c r="F13" s="136"/>
      <c r="G13" s="45">
        <v>2122</v>
      </c>
      <c r="H13" s="143"/>
      <c r="I13" s="90"/>
      <c r="J13" s="69"/>
      <c r="L13" s="42"/>
      <c r="M13" s="87"/>
      <c r="N13" s="87"/>
      <c r="O13" s="88"/>
      <c r="Q13" s="42"/>
      <c r="R13" s="87"/>
      <c r="S13" s="102" t="s">
        <v>51</v>
      </c>
      <c r="T13" s="72">
        <f>J19</f>
        <v>2112935.6962025319</v>
      </c>
      <c r="U13" s="102"/>
      <c r="V13" s="162">
        <f>(T13/10)/S3</f>
        <v>0.82445156170758216</v>
      </c>
      <c r="W13" s="87"/>
      <c r="X13" s="87"/>
      <c r="Y13" s="88"/>
    </row>
    <row r="14" spans="1:31" x14ac:dyDescent="0.3">
      <c r="A14" s="42"/>
      <c r="B14" s="58" t="s">
        <v>6</v>
      </c>
      <c r="C14" s="59">
        <v>0.8</v>
      </c>
      <c r="D14" s="141"/>
      <c r="E14" s="59">
        <v>0.8</v>
      </c>
      <c r="F14" s="142"/>
      <c r="G14" s="61">
        <v>0.8</v>
      </c>
      <c r="H14" s="144"/>
      <c r="I14" s="87"/>
      <c r="J14" s="69"/>
      <c r="L14" s="42"/>
      <c r="M14" s="87"/>
      <c r="N14" s="87"/>
      <c r="O14" s="88"/>
      <c r="Q14" s="42"/>
      <c r="R14" s="87"/>
      <c r="S14" s="54" t="s">
        <v>63</v>
      </c>
      <c r="T14" s="125">
        <f>SUM(T10:T13)</f>
        <v>2548495.566202532</v>
      </c>
      <c r="U14" s="87"/>
      <c r="V14" s="87"/>
      <c r="W14" s="87"/>
      <c r="X14" s="87"/>
      <c r="Y14" s="88"/>
      <c r="AA14" s="164" t="s">
        <v>42</v>
      </c>
      <c r="AB14" s="165" t="s">
        <v>34</v>
      </c>
      <c r="AC14" s="163" t="s">
        <v>35</v>
      </c>
    </row>
    <row r="15" spans="1:31" x14ac:dyDescent="0.3">
      <c r="A15" s="42"/>
      <c r="B15" s="87"/>
      <c r="C15" s="101"/>
      <c r="D15" s="87"/>
      <c r="E15" s="87"/>
      <c r="F15" s="87"/>
      <c r="G15" s="87"/>
      <c r="H15" s="87"/>
      <c r="I15" s="87"/>
      <c r="J15" s="88"/>
      <c r="L15" s="42"/>
      <c r="M15" s="87"/>
      <c r="N15" s="87"/>
      <c r="O15" s="88"/>
      <c r="Q15" s="42"/>
      <c r="R15" s="87"/>
      <c r="S15" s="87"/>
      <c r="T15" s="87"/>
      <c r="U15" s="87"/>
      <c r="V15" s="87"/>
      <c r="W15" s="87"/>
      <c r="X15" s="87"/>
      <c r="Y15" s="88"/>
      <c r="AA15" s="136" t="s">
        <v>39</v>
      </c>
      <c r="AB15" s="166">
        <f>N58</f>
        <v>3000000</v>
      </c>
      <c r="AC15" s="8">
        <f>N59</f>
        <v>535625</v>
      </c>
    </row>
    <row r="16" spans="1:31" x14ac:dyDescent="0.3">
      <c r="A16" s="42"/>
      <c r="B16" s="87"/>
      <c r="C16" s="101"/>
      <c r="D16" s="87"/>
      <c r="E16" s="87"/>
      <c r="F16" s="87"/>
      <c r="G16" s="87"/>
      <c r="H16" s="87"/>
      <c r="I16" s="87"/>
      <c r="J16" s="88"/>
      <c r="L16" s="42"/>
      <c r="M16" s="87"/>
      <c r="N16" s="87"/>
      <c r="O16" s="88"/>
      <c r="Q16" s="42"/>
      <c r="R16" s="87"/>
      <c r="S16" s="87"/>
      <c r="T16" s="87"/>
      <c r="U16" s="87"/>
      <c r="V16" s="87"/>
      <c r="W16" s="87"/>
      <c r="X16" s="87"/>
      <c r="Y16" s="88"/>
      <c r="AA16" s="136" t="s">
        <v>40</v>
      </c>
      <c r="AB16" s="166">
        <f>N35</f>
        <v>426855.69620253163</v>
      </c>
      <c r="AC16" s="9">
        <f>N36</f>
        <v>144552.5</v>
      </c>
    </row>
    <row r="17" spans="1:29" x14ac:dyDescent="0.3">
      <c r="A17" s="42"/>
      <c r="B17" s="87"/>
      <c r="C17" s="87"/>
      <c r="D17" s="87"/>
      <c r="E17" s="87"/>
      <c r="F17" s="87"/>
      <c r="G17" s="87"/>
      <c r="H17" s="87"/>
      <c r="I17" s="87"/>
      <c r="J17" s="88"/>
      <c r="L17" s="42"/>
      <c r="M17" s="87"/>
      <c r="N17" s="87"/>
      <c r="O17" s="88"/>
      <c r="Q17" s="42"/>
      <c r="R17" s="87"/>
      <c r="S17" s="87"/>
      <c r="T17" s="87"/>
      <c r="U17" s="87"/>
      <c r="V17" s="87"/>
      <c r="W17" s="87"/>
      <c r="X17" s="87"/>
      <c r="Y17" s="88"/>
      <c r="AA17" s="136" t="s">
        <v>41</v>
      </c>
      <c r="AB17" s="166">
        <f>N4</f>
        <v>426855.69620253163</v>
      </c>
      <c r="AC17" s="8">
        <f>N5</f>
        <v>157135</v>
      </c>
    </row>
    <row r="18" spans="1:29" x14ac:dyDescent="0.3">
      <c r="A18" s="42"/>
      <c r="B18" s="87"/>
      <c r="C18" s="87"/>
      <c r="D18" s="87"/>
      <c r="E18" s="87"/>
      <c r="F18" s="87"/>
      <c r="G18" s="87"/>
      <c r="H18" s="87"/>
      <c r="I18" s="87"/>
      <c r="J18" s="88"/>
      <c r="L18" s="42"/>
      <c r="M18" s="87"/>
      <c r="N18" s="87"/>
      <c r="O18" s="88"/>
      <c r="Q18" s="42"/>
      <c r="R18" s="87"/>
      <c r="S18" s="87"/>
      <c r="T18" s="87"/>
      <c r="U18" s="87"/>
      <c r="V18" s="87"/>
      <c r="W18" s="87"/>
      <c r="X18" s="87"/>
      <c r="Y18" s="88"/>
      <c r="AA18" s="26" t="s">
        <v>83</v>
      </c>
      <c r="AB18" s="178">
        <f>AB15/AB16</f>
        <v>7.0281362687416973</v>
      </c>
      <c r="AC18" s="178">
        <f>AC15/AC16</f>
        <v>3.7054011518306496</v>
      </c>
    </row>
    <row r="19" spans="1:29" x14ac:dyDescent="0.3">
      <c r="A19" s="42"/>
      <c r="B19" s="38" t="s">
        <v>12</v>
      </c>
      <c r="C19" s="28">
        <f>(C8*C9*C10)</f>
        <v>583.75</v>
      </c>
      <c r="D19" s="63">
        <f>C19/C$22</f>
        <v>1.1478149732094579E-2</v>
      </c>
      <c r="E19" s="28">
        <f>(E8*E9*E10)</f>
        <v>583.75</v>
      </c>
      <c r="F19" s="64"/>
      <c r="G19" s="65">
        <f>(G8*G9*G10)</f>
        <v>2610</v>
      </c>
      <c r="H19" s="30"/>
      <c r="I19" s="66" t="s">
        <v>75</v>
      </c>
      <c r="J19" s="171">
        <f>J9*J11*J10</f>
        <v>2112935.6962025319</v>
      </c>
      <c r="L19" s="42"/>
      <c r="M19" s="87"/>
      <c r="N19" s="87"/>
      <c r="O19" s="88"/>
      <c r="Q19" s="42"/>
      <c r="R19" s="87"/>
      <c r="S19" s="87"/>
      <c r="T19" s="87"/>
      <c r="U19" s="87"/>
      <c r="V19" s="87"/>
      <c r="W19" s="87"/>
      <c r="X19" s="87"/>
      <c r="Y19" s="88"/>
      <c r="AA19" s="26" t="s">
        <v>73</v>
      </c>
      <c r="AB19" s="178">
        <f>AB15/(AVERAGE(AB16,AB17))</f>
        <v>7.0281362687416973</v>
      </c>
      <c r="AC19" s="178">
        <f>AC15/(AVERAGE(AC16,AC17))</f>
        <v>3.5508597472550236</v>
      </c>
    </row>
    <row r="20" spans="1:29" x14ac:dyDescent="0.3">
      <c r="A20" s="42"/>
      <c r="B20" s="47" t="s">
        <v>13</v>
      </c>
      <c r="C20" s="90">
        <f>C8*C11*(1-C14)</f>
        <v>3735.9999999999991</v>
      </c>
      <c r="D20" s="67">
        <f t="shared" ref="D20:D21" si="0">C20/C$22</f>
        <v>7.3460158285405294E-2</v>
      </c>
      <c r="E20" s="90">
        <f>E8*E11*(1-E14)</f>
        <v>3175.5999999999995</v>
      </c>
      <c r="F20" s="68"/>
      <c r="G20" s="69">
        <f>G8*G11*(1-G14)</f>
        <v>13655.519999999999</v>
      </c>
      <c r="H20" s="68"/>
      <c r="I20" s="87"/>
      <c r="J20" s="88"/>
      <c r="L20" s="42"/>
      <c r="M20" s="87"/>
      <c r="N20" s="87"/>
      <c r="O20" s="88"/>
      <c r="Q20" s="42"/>
      <c r="R20" s="87"/>
      <c r="S20" s="87"/>
      <c r="T20" s="87"/>
      <c r="U20" s="87"/>
      <c r="V20" s="87"/>
      <c r="W20" s="87"/>
      <c r="X20" s="87"/>
      <c r="Y20" s="88"/>
    </row>
    <row r="21" spans="1:29" x14ac:dyDescent="0.3">
      <c r="A21" s="42"/>
      <c r="B21" s="47" t="s">
        <v>14</v>
      </c>
      <c r="C21" s="90">
        <f>C12*C13*C10</f>
        <v>46537.749999999993</v>
      </c>
      <c r="D21" s="67">
        <f t="shared" si="0"/>
        <v>0.91506169198250009</v>
      </c>
      <c r="E21" s="90">
        <f>E12*E13*E10</f>
        <v>393769.24999999994</v>
      </c>
      <c r="F21" s="68"/>
      <c r="G21" s="69">
        <f>G12*G13*G10</f>
        <v>15384.5</v>
      </c>
      <c r="H21" s="68"/>
      <c r="I21" s="87"/>
      <c r="J21" s="88"/>
      <c r="L21" s="42"/>
      <c r="M21" s="87"/>
      <c r="N21" s="87"/>
      <c r="O21" s="88"/>
      <c r="Q21" s="42"/>
      <c r="R21" s="87"/>
      <c r="S21" s="87"/>
      <c r="T21" s="87"/>
      <c r="U21" s="87"/>
      <c r="V21" s="87"/>
      <c r="W21" s="87"/>
      <c r="X21" s="87"/>
      <c r="Y21" s="88"/>
      <c r="AA21" s="15"/>
      <c r="AB21" s="17" t="s">
        <v>70</v>
      </c>
    </row>
    <row r="22" spans="1:29" x14ac:dyDescent="0.3">
      <c r="A22" s="42"/>
      <c r="B22" s="58" t="s">
        <v>11</v>
      </c>
      <c r="C22" s="167">
        <f>SUM(C19:C21)</f>
        <v>50857.499999999993</v>
      </c>
      <c r="D22" s="70">
        <f>C22/C13</f>
        <v>7.9229630783611142</v>
      </c>
      <c r="E22" s="168">
        <f>SUM(E19:E21)</f>
        <v>397528.59999999992</v>
      </c>
      <c r="F22" s="70">
        <f>E22/E13</f>
        <v>7.3192163938651875</v>
      </c>
      <c r="G22" s="72">
        <f>SUM(G19:G21)</f>
        <v>31650.019999999997</v>
      </c>
      <c r="H22" s="169">
        <f>G22/G13</f>
        <v>14.915183788878416</v>
      </c>
      <c r="I22" s="87"/>
      <c r="J22" s="88"/>
      <c r="L22" s="42"/>
      <c r="M22" s="87"/>
      <c r="N22" s="87"/>
      <c r="O22" s="88"/>
      <c r="Q22" s="42"/>
      <c r="R22" s="87"/>
      <c r="S22" s="87"/>
      <c r="T22" s="87"/>
      <c r="U22" s="87"/>
      <c r="V22" s="87"/>
      <c r="W22" s="87"/>
      <c r="X22" s="87"/>
      <c r="Y22" s="88"/>
      <c r="AA22" s="4" t="s">
        <v>48</v>
      </c>
      <c r="AB22" s="104">
        <f>C72</f>
        <v>1569578.0199999998</v>
      </c>
    </row>
    <row r="23" spans="1:29" x14ac:dyDescent="0.3">
      <c r="A23" s="42"/>
      <c r="B23" s="87"/>
      <c r="C23" s="87"/>
      <c r="D23" s="87"/>
      <c r="F23" s="87"/>
      <c r="G23" s="87"/>
      <c r="H23" s="87"/>
      <c r="I23" s="87"/>
      <c r="J23" s="88"/>
      <c r="L23" s="33"/>
      <c r="M23" s="34"/>
      <c r="N23" s="34"/>
      <c r="O23" s="35"/>
      <c r="Q23" s="33"/>
      <c r="R23" s="34"/>
      <c r="S23" s="34"/>
      <c r="T23" s="34"/>
      <c r="U23" s="34"/>
      <c r="V23" s="34"/>
      <c r="W23" s="34"/>
      <c r="X23" s="34"/>
      <c r="Y23" s="35"/>
      <c r="AA23" s="18" t="s">
        <v>18</v>
      </c>
      <c r="AB23" s="3">
        <f>F69</f>
        <v>14850000</v>
      </c>
    </row>
    <row r="24" spans="1:29" x14ac:dyDescent="0.3">
      <c r="A24" s="93"/>
      <c r="B24" s="6"/>
      <c r="C24" s="6"/>
      <c r="D24" s="6"/>
      <c r="E24" s="155"/>
      <c r="F24" s="6"/>
      <c r="G24" s="6"/>
      <c r="H24" s="6"/>
      <c r="I24" s="6"/>
      <c r="J24" s="94"/>
      <c r="L24" s="110"/>
      <c r="M24" s="111"/>
      <c r="N24" s="111"/>
      <c r="O24" s="112"/>
      <c r="Q24" s="110"/>
      <c r="R24" s="111"/>
      <c r="S24" s="111"/>
      <c r="T24" s="111"/>
      <c r="U24" s="111"/>
      <c r="V24" s="111"/>
      <c r="W24" s="111"/>
      <c r="X24" s="111"/>
      <c r="Y24" s="112"/>
    </row>
    <row r="25" spans="1:29" x14ac:dyDescent="0.3">
      <c r="A25" s="95"/>
      <c r="B25" s="7"/>
      <c r="C25" s="7"/>
      <c r="D25" s="7"/>
      <c r="E25" s="7"/>
      <c r="F25" s="7"/>
      <c r="G25" s="7"/>
      <c r="H25" s="7"/>
      <c r="I25" s="7"/>
      <c r="J25" s="96"/>
      <c r="L25" s="113"/>
      <c r="M25" s="114"/>
      <c r="N25" s="114"/>
      <c r="O25" s="115"/>
      <c r="Q25" s="113"/>
      <c r="R25" s="114"/>
      <c r="S25" s="114"/>
      <c r="T25" s="114"/>
      <c r="U25" s="114"/>
      <c r="V25" s="114"/>
      <c r="W25" s="114"/>
      <c r="X25" s="114"/>
      <c r="Y25" s="115"/>
      <c r="AA25" s="122" t="s">
        <v>64</v>
      </c>
      <c r="AB25" s="123" t="s">
        <v>84</v>
      </c>
    </row>
    <row r="26" spans="1:29" x14ac:dyDescent="0.3">
      <c r="A26" s="42"/>
      <c r="B26" s="87"/>
      <c r="C26" s="87"/>
      <c r="D26" s="87"/>
      <c r="E26" s="87"/>
      <c r="F26" s="87"/>
      <c r="G26" s="87"/>
      <c r="H26" s="87"/>
      <c r="I26" s="87"/>
      <c r="J26" s="88"/>
      <c r="L26" s="27"/>
      <c r="M26" s="86"/>
      <c r="N26" s="86"/>
      <c r="O26" s="29"/>
      <c r="Q26" s="27"/>
      <c r="R26" s="86"/>
      <c r="S26" s="86"/>
      <c r="T26" s="86"/>
      <c r="U26" s="86"/>
      <c r="V26" s="86"/>
      <c r="W26" s="86"/>
      <c r="X26" s="86"/>
      <c r="Y26" s="29"/>
      <c r="AA26" s="122" t="s">
        <v>45</v>
      </c>
      <c r="AB26" s="23">
        <f>V10</f>
        <v>0.32540979781477603</v>
      </c>
    </row>
    <row r="27" spans="1:29" x14ac:dyDescent="0.3">
      <c r="A27" s="42"/>
      <c r="B27" s="87"/>
      <c r="C27" s="27"/>
      <c r="D27" s="28" t="s">
        <v>19</v>
      </c>
      <c r="E27" s="29"/>
      <c r="F27" s="30"/>
      <c r="G27" s="31"/>
      <c r="H27" s="31" t="s">
        <v>27</v>
      </c>
      <c r="I27" s="31"/>
      <c r="J27" s="89"/>
      <c r="L27" s="42"/>
      <c r="M27" s="87"/>
      <c r="N27" s="87"/>
      <c r="O27" s="88"/>
      <c r="Q27" s="42" t="s">
        <v>62</v>
      </c>
      <c r="R27" s="87"/>
      <c r="S27" s="54" t="s">
        <v>18</v>
      </c>
      <c r="T27" s="118" t="s">
        <v>52</v>
      </c>
      <c r="U27" s="54" t="s">
        <v>58</v>
      </c>
      <c r="V27" s="118" t="s">
        <v>85</v>
      </c>
      <c r="W27" s="109" t="s">
        <v>86</v>
      </c>
      <c r="X27" s="118" t="s">
        <v>17</v>
      </c>
      <c r="Y27" s="44"/>
      <c r="AA27" s="121" t="s">
        <v>46</v>
      </c>
      <c r="AB27" s="24">
        <f>V11</f>
        <v>0.27827575513783182</v>
      </c>
    </row>
    <row r="28" spans="1:29" x14ac:dyDescent="0.3">
      <c r="A28" s="42"/>
      <c r="B28" s="87"/>
      <c r="C28" s="33"/>
      <c r="D28" s="34"/>
      <c r="E28" s="35"/>
      <c r="F28" s="36"/>
      <c r="G28" s="90"/>
      <c r="H28" s="90"/>
      <c r="I28" s="90"/>
      <c r="J28" s="69"/>
      <c r="L28" s="42"/>
      <c r="M28" s="87"/>
      <c r="N28" s="87"/>
      <c r="O28" s="88"/>
      <c r="Q28" s="42"/>
      <c r="R28" s="87"/>
      <c r="S28" s="119">
        <v>256284.02497893051</v>
      </c>
      <c r="T28" s="151">
        <v>13464.266698000611</v>
      </c>
      <c r="U28" s="118">
        <v>953.73015752668016</v>
      </c>
      <c r="V28" s="71">
        <v>121356.72343543964</v>
      </c>
      <c r="W28" s="118">
        <v>3540.1255854499104</v>
      </c>
      <c r="X28" s="71">
        <v>4676.6367677065773</v>
      </c>
      <c r="Y28" s="43"/>
      <c r="Z28" s="2"/>
      <c r="AA28" s="121" t="s">
        <v>48</v>
      </c>
      <c r="AB28" s="24">
        <f>V12</f>
        <v>0.4200942575367041</v>
      </c>
    </row>
    <row r="29" spans="1:29" x14ac:dyDescent="0.3">
      <c r="A29" s="42"/>
      <c r="B29" s="38" t="s">
        <v>7</v>
      </c>
      <c r="C29" s="27"/>
      <c r="D29" s="38"/>
      <c r="E29" s="29"/>
      <c r="F29" s="30"/>
      <c r="G29" s="41" t="s">
        <v>26</v>
      </c>
      <c r="H29" s="31"/>
      <c r="I29" s="41"/>
      <c r="J29" s="89" t="s">
        <v>18</v>
      </c>
      <c r="L29" s="42"/>
      <c r="M29" s="87"/>
      <c r="N29" s="87"/>
      <c r="O29" s="88"/>
      <c r="Q29" s="42"/>
      <c r="R29" s="87"/>
      <c r="S29" s="87"/>
      <c r="T29" s="87"/>
      <c r="U29" s="87"/>
      <c r="V29" s="87"/>
      <c r="W29" s="87"/>
      <c r="X29" s="87"/>
      <c r="Y29" s="88"/>
      <c r="AA29" s="121" t="s">
        <v>51</v>
      </c>
      <c r="AB29" s="106">
        <f>V13</f>
        <v>0.82445156170758216</v>
      </c>
    </row>
    <row r="30" spans="1:29" x14ac:dyDescent="0.3">
      <c r="A30" s="42"/>
      <c r="B30" s="42" t="s">
        <v>8</v>
      </c>
      <c r="C30" s="43" t="s">
        <v>10</v>
      </c>
      <c r="D30" s="44"/>
      <c r="E30" s="69" t="s">
        <v>20</v>
      </c>
      <c r="F30" s="36"/>
      <c r="G30" s="45" t="s">
        <v>17</v>
      </c>
      <c r="H30" s="90"/>
      <c r="I30" s="45"/>
      <c r="J30" s="88" t="s">
        <v>30</v>
      </c>
      <c r="L30" s="42"/>
      <c r="M30" s="87"/>
      <c r="N30" s="87"/>
      <c r="O30" s="88"/>
      <c r="Q30" s="42"/>
      <c r="R30" s="87"/>
      <c r="S30" s="87"/>
      <c r="T30" s="87"/>
      <c r="U30" s="87"/>
      <c r="V30" s="87"/>
      <c r="W30" s="87"/>
      <c r="X30" s="87"/>
      <c r="Y30" s="88"/>
      <c r="AA30" s="121" t="s">
        <v>45</v>
      </c>
      <c r="AB30" s="24">
        <f>V32</f>
        <v>0.35273624005891802</v>
      </c>
    </row>
    <row r="31" spans="1:29" x14ac:dyDescent="0.3">
      <c r="A31" s="42"/>
      <c r="B31" s="47" t="s">
        <v>1</v>
      </c>
      <c r="C31" s="43" t="s">
        <v>21</v>
      </c>
      <c r="D31" s="44"/>
      <c r="E31" s="69" t="s">
        <v>21</v>
      </c>
      <c r="F31" s="36"/>
      <c r="G31" s="45" t="s">
        <v>25</v>
      </c>
      <c r="H31" s="90"/>
      <c r="I31" s="48" t="s">
        <v>16</v>
      </c>
      <c r="J31" s="91">
        <f>337216/0.79</f>
        <v>426855.69620253163</v>
      </c>
      <c r="L31" s="42"/>
      <c r="M31" s="87"/>
      <c r="N31" s="87"/>
      <c r="O31" s="88"/>
      <c r="Q31" s="42"/>
      <c r="R31" s="87"/>
      <c r="S31" s="40" t="s">
        <v>64</v>
      </c>
      <c r="T31" s="65" t="s">
        <v>66</v>
      </c>
      <c r="U31" s="38" t="s">
        <v>81</v>
      </c>
      <c r="V31" s="38" t="s">
        <v>82</v>
      </c>
      <c r="W31" s="87"/>
      <c r="X31" s="87"/>
      <c r="Y31" s="88"/>
      <c r="AA31" s="124" t="s">
        <v>47</v>
      </c>
      <c r="AB31" s="22">
        <f>V33</f>
        <v>0.31828553171386376</v>
      </c>
    </row>
    <row r="32" spans="1:29" x14ac:dyDescent="0.3">
      <c r="A32" s="42"/>
      <c r="B32" s="47" t="s">
        <v>5</v>
      </c>
      <c r="C32" s="43">
        <v>3</v>
      </c>
      <c r="D32" s="47"/>
      <c r="E32" s="69">
        <v>3</v>
      </c>
      <c r="F32" s="36"/>
      <c r="G32" s="45">
        <v>2088</v>
      </c>
      <c r="H32" s="90"/>
      <c r="I32" s="48" t="s">
        <v>29</v>
      </c>
      <c r="J32" s="69">
        <v>1</v>
      </c>
      <c r="L32" s="42"/>
      <c r="M32" s="87"/>
      <c r="N32" s="87"/>
      <c r="O32" s="88"/>
      <c r="Q32" s="42"/>
      <c r="R32" s="87"/>
      <c r="S32" s="39" t="s">
        <v>45</v>
      </c>
      <c r="T32" s="158">
        <f>C22</f>
        <v>50857.499999999993</v>
      </c>
      <c r="U32" s="152">
        <f>T28+U28</f>
        <v>14417.99685552729</v>
      </c>
      <c r="V32" s="160">
        <f>(T32/10)/U32</f>
        <v>0.35273624005891802</v>
      </c>
      <c r="W32" s="87"/>
      <c r="X32" s="87"/>
      <c r="Y32" s="88"/>
    </row>
    <row r="33" spans="1:30" x14ac:dyDescent="0.3">
      <c r="A33" s="42"/>
      <c r="B33" s="47" t="s">
        <v>4</v>
      </c>
      <c r="C33" s="50">
        <v>0.05</v>
      </c>
      <c r="D33" s="47"/>
      <c r="E33" s="73">
        <v>0.05</v>
      </c>
      <c r="F33" s="36"/>
      <c r="G33" s="51">
        <v>0.05</v>
      </c>
      <c r="H33" s="90"/>
      <c r="I33" s="48" t="s">
        <v>28</v>
      </c>
      <c r="J33" s="91">
        <f>J31*J32</f>
        <v>426855.69620253163</v>
      </c>
      <c r="L33" s="42"/>
      <c r="M33" s="87"/>
      <c r="N33" s="87"/>
      <c r="O33" s="88"/>
      <c r="Q33" s="42"/>
      <c r="R33" s="87"/>
      <c r="S33" s="44" t="s">
        <v>47</v>
      </c>
      <c r="T33" s="159">
        <f>E22</f>
        <v>397528.59999999992</v>
      </c>
      <c r="U33" s="153">
        <f>V28+W28</f>
        <v>124896.84902088955</v>
      </c>
      <c r="V33" s="161">
        <f t="shared" ref="V33:V35" si="1">(T33/10)/U33</f>
        <v>0.31828553171386376</v>
      </c>
      <c r="W33" s="87"/>
      <c r="X33" s="87"/>
      <c r="Y33" s="88"/>
    </row>
    <row r="34" spans="1:30" x14ac:dyDescent="0.3">
      <c r="A34" s="42"/>
      <c r="B34" s="47" t="s">
        <v>3</v>
      </c>
      <c r="C34" s="43">
        <v>25</v>
      </c>
      <c r="D34" s="47"/>
      <c r="E34" s="69">
        <v>25</v>
      </c>
      <c r="F34" s="36"/>
      <c r="G34" s="45">
        <v>25</v>
      </c>
      <c r="H34" s="90"/>
      <c r="I34" s="54" t="s">
        <v>76</v>
      </c>
      <c r="J34" s="55">
        <v>0.19800000000000001</v>
      </c>
      <c r="K34" s="13"/>
      <c r="L34" s="42"/>
      <c r="M34" s="146"/>
      <c r="N34" s="147" t="s">
        <v>36</v>
      </c>
      <c r="O34" s="26" t="s">
        <v>80</v>
      </c>
      <c r="Q34" s="42"/>
      <c r="R34" s="87"/>
      <c r="S34" s="44" t="s">
        <v>48</v>
      </c>
      <c r="T34" s="159">
        <f>G22</f>
        <v>31650.019999999997</v>
      </c>
      <c r="U34" s="153">
        <f>X28</f>
        <v>4676.6367677065773</v>
      </c>
      <c r="V34" s="161">
        <f t="shared" si="1"/>
        <v>0.67676883136513433</v>
      </c>
      <c r="W34" s="87"/>
      <c r="X34" s="87"/>
      <c r="Y34" s="88"/>
    </row>
    <row r="35" spans="1:30" x14ac:dyDescent="0.3">
      <c r="A35" s="42"/>
      <c r="B35" s="47" t="s">
        <v>78</v>
      </c>
      <c r="C35" s="43">
        <v>81</v>
      </c>
      <c r="D35" s="47"/>
      <c r="E35" s="69">
        <v>60</v>
      </c>
      <c r="F35" s="36"/>
      <c r="G35" s="45">
        <v>32.700000000000003</v>
      </c>
      <c r="H35" s="37"/>
      <c r="I35" s="90"/>
      <c r="J35" s="69"/>
      <c r="L35" s="42"/>
      <c r="M35" s="130" t="s">
        <v>34</v>
      </c>
      <c r="N35" s="107">
        <f>J31</f>
        <v>426855.69620253163</v>
      </c>
      <c r="O35" s="63">
        <f>N35/N37</f>
        <v>0.74702410472816461</v>
      </c>
      <c r="Q35" s="42"/>
      <c r="R35" s="87"/>
      <c r="S35" s="102" t="s">
        <v>18</v>
      </c>
      <c r="T35" s="120">
        <f>J19</f>
        <v>2112935.6962025319</v>
      </c>
      <c r="U35" s="154">
        <f>S28</f>
        <v>256284.02497893051</v>
      </c>
      <c r="V35" s="162">
        <f t="shared" si="1"/>
        <v>0.82445080077708299</v>
      </c>
      <c r="W35" s="87"/>
      <c r="X35" s="87"/>
      <c r="Y35" s="88"/>
      <c r="AA35" s="126" t="s">
        <v>67</v>
      </c>
      <c r="AB35" s="17" t="s">
        <v>44</v>
      </c>
      <c r="AC35" s="17" t="s">
        <v>41</v>
      </c>
      <c r="AD35" s="17" t="s">
        <v>60</v>
      </c>
    </row>
    <row r="36" spans="1:30" x14ac:dyDescent="0.3">
      <c r="A36" s="42"/>
      <c r="B36" s="42" t="s">
        <v>15</v>
      </c>
      <c r="C36" s="56">
        <v>0.28999999999999998</v>
      </c>
      <c r="D36" s="57"/>
      <c r="E36" s="74">
        <v>0.28999999999999998</v>
      </c>
      <c r="F36" s="36"/>
      <c r="G36" s="45">
        <v>0.28999999999999998</v>
      </c>
      <c r="H36" s="37"/>
      <c r="I36" s="90"/>
      <c r="J36" s="69"/>
      <c r="L36" s="42"/>
      <c r="M36" s="136" t="s">
        <v>35</v>
      </c>
      <c r="N36" s="90">
        <f>(C37+E37+G37)*2.5</f>
        <v>144552.5</v>
      </c>
      <c r="O36" s="67">
        <f>N36/N37</f>
        <v>0.25297589527183534</v>
      </c>
      <c r="Q36" s="42"/>
      <c r="R36" s="87"/>
      <c r="S36" s="54" t="s">
        <v>87</v>
      </c>
      <c r="T36" s="125">
        <f>SUM(T32:T35)</f>
        <v>2592971.816202532</v>
      </c>
      <c r="U36" s="87"/>
      <c r="V36" s="87"/>
      <c r="W36" s="87"/>
      <c r="X36" s="87"/>
      <c r="Y36" s="88"/>
      <c r="AA36" s="139"/>
      <c r="AB36" s="20">
        <f>SUM(T10:T13)</f>
        <v>2548495.566202532</v>
      </c>
      <c r="AC36" s="20">
        <f>SUM(T32:T35)</f>
        <v>2592971.816202532</v>
      </c>
      <c r="AD36" s="14">
        <f>SUM(AB21:AB23)</f>
        <v>16419578.02</v>
      </c>
    </row>
    <row r="37" spans="1:30" x14ac:dyDescent="0.3">
      <c r="A37" s="42"/>
      <c r="B37" s="42" t="s">
        <v>16</v>
      </c>
      <c r="C37" s="56">
        <v>9040</v>
      </c>
      <c r="D37" s="57"/>
      <c r="E37" s="74">
        <v>40684</v>
      </c>
      <c r="F37" s="36"/>
      <c r="G37" s="45">
        <v>8097</v>
      </c>
      <c r="H37" s="37"/>
      <c r="I37" s="90"/>
      <c r="J37" s="69"/>
      <c r="L37" s="42"/>
      <c r="M37" s="142" t="s">
        <v>37</v>
      </c>
      <c r="N37" s="108">
        <f>N35+N36</f>
        <v>571408.19620253169</v>
      </c>
      <c r="O37" s="58"/>
      <c r="Q37" s="42"/>
      <c r="R37" s="87"/>
      <c r="S37" s="87"/>
      <c r="T37" s="87"/>
      <c r="U37" s="87"/>
      <c r="V37" s="87"/>
      <c r="W37" s="87"/>
      <c r="X37" s="87"/>
      <c r="Y37" s="88"/>
      <c r="AA37" s="139"/>
      <c r="AB37" s="1"/>
      <c r="AC37" s="1"/>
      <c r="AD37" s="19">
        <f>1-(AD36/AC36)</f>
        <v>-5.332339563970601</v>
      </c>
    </row>
    <row r="38" spans="1:30" x14ac:dyDescent="0.3">
      <c r="A38" s="42"/>
      <c r="B38" s="58" t="s">
        <v>6</v>
      </c>
      <c r="C38" s="59">
        <v>0.8</v>
      </c>
      <c r="D38" s="58"/>
      <c r="E38" s="75">
        <v>0.8</v>
      </c>
      <c r="F38" s="60"/>
      <c r="G38" s="61">
        <v>0.8</v>
      </c>
      <c r="H38" s="62"/>
      <c r="I38" s="87"/>
      <c r="J38" s="69"/>
      <c r="L38" s="42"/>
      <c r="M38" s="87"/>
      <c r="N38" s="87"/>
      <c r="O38" s="88"/>
      <c r="Q38" s="42"/>
      <c r="R38" s="87"/>
      <c r="S38" s="87"/>
      <c r="T38" s="87"/>
      <c r="U38" s="87"/>
      <c r="V38" s="87"/>
      <c r="W38" s="87"/>
      <c r="X38" s="87"/>
      <c r="Y38" s="88"/>
      <c r="AA38" s="139"/>
      <c r="AB38" s="1"/>
      <c r="AC38" s="1"/>
      <c r="AD38" s="1"/>
    </row>
    <row r="39" spans="1:30" x14ac:dyDescent="0.3">
      <c r="A39" s="42"/>
      <c r="B39" s="87"/>
      <c r="C39" s="87"/>
      <c r="D39" s="87"/>
      <c r="E39" s="87"/>
      <c r="F39" s="87"/>
      <c r="G39" s="87"/>
      <c r="H39" s="87"/>
      <c r="I39" s="87"/>
      <c r="J39" s="88"/>
      <c r="L39" s="42"/>
      <c r="M39" s="87"/>
      <c r="N39" s="87"/>
      <c r="O39" s="88"/>
      <c r="Q39" s="42"/>
      <c r="R39" s="87"/>
      <c r="S39" s="87"/>
      <c r="T39" s="87"/>
      <c r="U39" s="87"/>
      <c r="V39" s="87"/>
      <c r="W39" s="87"/>
      <c r="X39" s="87"/>
      <c r="Y39" s="88"/>
      <c r="AA39" s="139" t="s">
        <v>68</v>
      </c>
      <c r="AB39" s="17" t="s">
        <v>44</v>
      </c>
      <c r="AC39" s="16" t="s">
        <v>41</v>
      </c>
      <c r="AD39" s="21" t="s">
        <v>60</v>
      </c>
    </row>
    <row r="40" spans="1:30" x14ac:dyDescent="0.3">
      <c r="A40" s="42"/>
      <c r="B40" s="87"/>
      <c r="C40" s="87"/>
      <c r="D40" s="87"/>
      <c r="E40" s="87"/>
      <c r="F40" s="87"/>
      <c r="G40" s="87"/>
      <c r="H40" s="87"/>
      <c r="I40" s="87"/>
      <c r="J40" s="88"/>
      <c r="L40" s="42"/>
      <c r="M40" s="87"/>
      <c r="N40" s="87"/>
      <c r="O40" s="88"/>
      <c r="Q40" s="42"/>
      <c r="R40" s="87"/>
      <c r="S40" s="87"/>
      <c r="T40" s="87"/>
      <c r="U40" s="87"/>
      <c r="V40" s="87"/>
      <c r="W40" s="87"/>
      <c r="X40" s="87"/>
      <c r="Y40" s="88"/>
      <c r="AA40" s="139"/>
      <c r="AB40" s="20">
        <f>T11+T10+T12</f>
        <v>435559.87</v>
      </c>
      <c r="AC40" s="157">
        <f>SUM(T32:T34)</f>
        <v>480036.11999999994</v>
      </c>
      <c r="AD40" s="20">
        <f>AB22</f>
        <v>1569578.0199999998</v>
      </c>
    </row>
    <row r="41" spans="1:30" x14ac:dyDescent="0.3">
      <c r="A41" s="42"/>
      <c r="B41" s="87"/>
      <c r="C41" s="87"/>
      <c r="D41" s="87"/>
      <c r="E41" s="87"/>
      <c r="F41" s="87"/>
      <c r="G41" s="87"/>
      <c r="H41" s="87"/>
      <c r="I41" s="87"/>
      <c r="J41" s="88"/>
      <c r="L41" s="42"/>
      <c r="M41" s="87"/>
      <c r="N41" s="87"/>
      <c r="O41" s="88"/>
      <c r="Q41" s="42"/>
      <c r="R41" s="87"/>
      <c r="S41" s="87"/>
      <c r="T41" s="87"/>
      <c r="U41" s="87"/>
      <c r="V41" s="87"/>
      <c r="W41" s="87"/>
      <c r="X41" s="87"/>
      <c r="Y41" s="88"/>
      <c r="AA41" s="139"/>
      <c r="AB41" s="1"/>
      <c r="AC41" s="1"/>
      <c r="AD41" s="19">
        <f>1-(AC40/AD40)</f>
        <v>0.69416230739520679</v>
      </c>
    </row>
    <row r="42" spans="1:30" x14ac:dyDescent="0.3">
      <c r="A42" s="42"/>
      <c r="B42" s="87"/>
      <c r="C42" s="87"/>
      <c r="D42" s="87"/>
      <c r="E42" s="87"/>
      <c r="F42" s="87"/>
      <c r="G42" s="87"/>
      <c r="H42" s="87"/>
      <c r="I42" s="87"/>
      <c r="J42" s="88"/>
      <c r="L42" s="42"/>
      <c r="M42" s="87"/>
      <c r="N42" s="87"/>
      <c r="O42" s="88"/>
      <c r="Q42" s="42"/>
      <c r="R42" s="87"/>
      <c r="S42" s="87"/>
      <c r="T42" s="87"/>
      <c r="U42" s="87"/>
      <c r="V42" s="87"/>
      <c r="W42" s="156"/>
      <c r="X42" s="87"/>
      <c r="Y42" s="88"/>
      <c r="AA42" s="139"/>
      <c r="AB42" s="1"/>
      <c r="AC42" s="1"/>
      <c r="AD42" s="1"/>
    </row>
    <row r="43" spans="1:30" x14ac:dyDescent="0.3">
      <c r="A43" s="42"/>
      <c r="B43" s="38" t="s">
        <v>12</v>
      </c>
      <c r="C43" s="28">
        <f>(C32*C33*C34)</f>
        <v>3.7500000000000004</v>
      </c>
      <c r="D43" s="76">
        <f>C43/C$46</f>
        <v>5.7171301226438756E-5</v>
      </c>
      <c r="E43" s="28">
        <f>(E32*E33*E34)</f>
        <v>3.7500000000000004</v>
      </c>
      <c r="F43" s="64"/>
      <c r="G43" s="28">
        <f>(G32*G33*G34)</f>
        <v>2610</v>
      </c>
      <c r="H43" s="30"/>
      <c r="I43" s="66" t="s">
        <v>50</v>
      </c>
      <c r="J43" s="170">
        <f>J33*J34*J10</f>
        <v>2112935.6962025319</v>
      </c>
      <c r="L43" s="42"/>
      <c r="M43" s="87"/>
      <c r="N43" s="87"/>
      <c r="O43" s="88"/>
      <c r="Q43" s="42"/>
      <c r="R43" s="87"/>
      <c r="S43" s="87"/>
      <c r="T43" s="87"/>
      <c r="U43" s="87"/>
      <c r="V43" s="87"/>
      <c r="W43" s="87"/>
      <c r="X43" s="87"/>
      <c r="Y43" s="88"/>
      <c r="AA43" s="139" t="s">
        <v>69</v>
      </c>
      <c r="AB43" s="17" t="s">
        <v>44</v>
      </c>
      <c r="AC43" s="16" t="s">
        <v>41</v>
      </c>
      <c r="AD43" s="21" t="s">
        <v>60</v>
      </c>
    </row>
    <row r="44" spans="1:30" x14ac:dyDescent="0.3">
      <c r="A44" s="42"/>
      <c r="B44" s="47" t="s">
        <v>13</v>
      </c>
      <c r="C44" s="90">
        <f>C32*C35*(1-C38)</f>
        <v>48.599999999999987</v>
      </c>
      <c r="D44" s="77">
        <f t="shared" ref="D44:D45" si="2">C44/C$46</f>
        <v>7.4094006389464602E-4</v>
      </c>
      <c r="E44" s="90">
        <f>E32*E35*(1-E38)</f>
        <v>35.999999999999993</v>
      </c>
      <c r="F44" s="68"/>
      <c r="G44" s="90">
        <f>G32*G35*(1-G38)</f>
        <v>13655.519999999999</v>
      </c>
      <c r="H44" s="68"/>
      <c r="I44" s="87"/>
      <c r="J44" s="88"/>
      <c r="L44" s="42"/>
      <c r="M44" s="87"/>
      <c r="N44" s="87"/>
      <c r="O44" s="88"/>
      <c r="Q44" s="42"/>
      <c r="R44" s="87"/>
      <c r="S44" s="87"/>
      <c r="T44" s="87"/>
      <c r="U44" s="87"/>
      <c r="V44" s="87"/>
      <c r="W44" s="87"/>
      <c r="X44" s="87"/>
      <c r="Y44" s="88"/>
      <c r="AA44" s="139"/>
      <c r="AB44" s="20">
        <f>T13</f>
        <v>2112935.6962025319</v>
      </c>
      <c r="AC44" s="157">
        <f>T35</f>
        <v>2112935.6962025319</v>
      </c>
      <c r="AD44" s="20">
        <f>AB23</f>
        <v>14850000</v>
      </c>
    </row>
    <row r="45" spans="1:30" x14ac:dyDescent="0.3">
      <c r="A45" s="42"/>
      <c r="B45" s="47" t="s">
        <v>14</v>
      </c>
      <c r="C45" s="90">
        <f>C36*C37*C34</f>
        <v>65540</v>
      </c>
      <c r="D45" s="77">
        <f t="shared" si="2"/>
        <v>0.9992018886348788</v>
      </c>
      <c r="E45" s="90">
        <f>E36*E37*E34</f>
        <v>294958.99999999994</v>
      </c>
      <c r="F45" s="68"/>
      <c r="G45" s="90">
        <f>G36*G37*G34</f>
        <v>58703.249999999993</v>
      </c>
      <c r="H45" s="68"/>
      <c r="I45" s="87"/>
      <c r="J45" s="88"/>
      <c r="L45" s="42"/>
      <c r="M45" s="87"/>
      <c r="N45" s="87"/>
      <c r="O45" s="88"/>
      <c r="Q45" s="42"/>
      <c r="R45" s="87"/>
      <c r="S45" s="87"/>
      <c r="T45" s="87"/>
      <c r="U45" s="87"/>
      <c r="V45" s="87"/>
      <c r="W45" s="87"/>
      <c r="X45" s="87"/>
      <c r="Y45" s="88"/>
      <c r="AA45" s="141"/>
      <c r="AB45" s="1"/>
      <c r="AC45" s="1"/>
      <c r="AD45" s="19">
        <f>1-(AC44/AD44)</f>
        <v>0.85771476793248946</v>
      </c>
    </row>
    <row r="46" spans="1:30" x14ac:dyDescent="0.3">
      <c r="A46" s="42"/>
      <c r="B46" s="58" t="s">
        <v>11</v>
      </c>
      <c r="C46" s="167">
        <f>SUM(C43:C45)</f>
        <v>65592.350000000006</v>
      </c>
      <c r="D46" s="78">
        <f>C46/C37</f>
        <v>7.2557909292035401</v>
      </c>
      <c r="E46" s="168">
        <f>SUM(E43:E45)</f>
        <v>294998.74999999994</v>
      </c>
      <c r="F46" s="70">
        <f>E46/E37</f>
        <v>7.2509770425720168</v>
      </c>
      <c r="G46" s="168">
        <f>SUM(G43:G45)</f>
        <v>74968.76999999999</v>
      </c>
      <c r="H46" s="70">
        <f>G46/G37</f>
        <v>9.2588329010744701</v>
      </c>
      <c r="I46" s="87"/>
      <c r="J46" s="88"/>
      <c r="L46" s="42"/>
      <c r="M46" s="87"/>
      <c r="N46" s="87"/>
      <c r="O46" s="88"/>
      <c r="Q46" s="42"/>
      <c r="R46" s="87"/>
      <c r="S46" s="87"/>
      <c r="T46" s="87"/>
      <c r="U46" s="87"/>
      <c r="V46" s="87"/>
      <c r="W46" s="87"/>
      <c r="X46" s="87"/>
      <c r="Y46" s="88"/>
    </row>
    <row r="47" spans="1:30" x14ac:dyDescent="0.3">
      <c r="A47" s="42"/>
      <c r="B47" s="87"/>
      <c r="C47" s="87"/>
      <c r="D47" s="87"/>
      <c r="E47" s="87"/>
      <c r="F47" s="87"/>
      <c r="G47" s="87"/>
      <c r="H47" s="87"/>
      <c r="I47" s="87"/>
      <c r="J47" s="88"/>
      <c r="L47" s="42"/>
      <c r="M47" s="87"/>
      <c r="N47" s="87"/>
      <c r="O47" s="88"/>
      <c r="Q47" s="42"/>
      <c r="R47" s="87"/>
      <c r="S47" s="87"/>
      <c r="T47" s="87"/>
      <c r="U47" s="87"/>
      <c r="V47" s="87"/>
      <c r="W47" s="87"/>
      <c r="X47" s="87"/>
      <c r="Y47" s="88"/>
    </row>
    <row r="48" spans="1:30" x14ac:dyDescent="0.3">
      <c r="A48" s="42"/>
      <c r="B48" s="87"/>
      <c r="C48" s="87"/>
      <c r="D48" s="87"/>
      <c r="F48" s="87"/>
      <c r="G48" s="87"/>
      <c r="H48" s="87"/>
      <c r="I48" s="87"/>
      <c r="J48" s="88"/>
      <c r="L48" s="42"/>
      <c r="M48" s="87"/>
      <c r="N48" s="87"/>
      <c r="O48" s="88"/>
      <c r="Q48" s="42"/>
      <c r="R48" s="87"/>
      <c r="S48" s="87"/>
      <c r="T48" s="87"/>
      <c r="U48" s="87"/>
      <c r="V48" s="87"/>
      <c r="W48" s="87"/>
      <c r="X48" s="87"/>
      <c r="Y48" s="88"/>
    </row>
    <row r="49" spans="1:31" x14ac:dyDescent="0.3">
      <c r="A49" s="42"/>
      <c r="B49" s="87"/>
      <c r="C49" s="87"/>
      <c r="D49" s="87"/>
      <c r="E49" s="87"/>
      <c r="F49" s="87"/>
      <c r="G49" s="87"/>
      <c r="H49" s="87"/>
      <c r="J49" s="88"/>
      <c r="L49" s="33"/>
      <c r="M49" s="34"/>
      <c r="N49" s="34"/>
      <c r="O49" s="35"/>
      <c r="Q49" s="33"/>
      <c r="R49" s="34"/>
      <c r="S49" s="34"/>
      <c r="T49" s="34"/>
      <c r="U49" s="34"/>
      <c r="V49" s="34"/>
      <c r="W49" s="34"/>
      <c r="X49" s="34"/>
      <c r="Y49" s="35"/>
      <c r="AA49" s="26" t="s">
        <v>89</v>
      </c>
      <c r="AB49" s="179"/>
      <c r="AE49" s="105"/>
    </row>
    <row r="50" spans="1:31" x14ac:dyDescent="0.3">
      <c r="A50" s="97"/>
      <c r="B50" s="98"/>
      <c r="C50" s="98"/>
      <c r="D50" s="98"/>
      <c r="E50" s="98"/>
      <c r="F50" s="98"/>
      <c r="G50" s="98"/>
      <c r="H50" s="98"/>
      <c r="I50" s="98"/>
      <c r="J50" s="99"/>
      <c r="L50" s="110"/>
      <c r="M50" s="111"/>
      <c r="N50" s="111"/>
      <c r="O50" s="112"/>
      <c r="Q50" s="155"/>
      <c r="R50" s="155"/>
      <c r="S50" s="155"/>
      <c r="T50" s="155"/>
      <c r="U50" s="155"/>
      <c r="V50" s="155"/>
      <c r="W50" s="155"/>
      <c r="X50" s="155"/>
      <c r="Y50" s="155"/>
      <c r="AA50" s="126" t="s">
        <v>44</v>
      </c>
      <c r="AB50" s="39">
        <f>C20+C19+E20+E19+G20+G19</f>
        <v>24344.619999999995</v>
      </c>
    </row>
    <row r="51" spans="1:31" x14ac:dyDescent="0.3">
      <c r="A51" s="97"/>
      <c r="B51" s="98"/>
      <c r="C51" s="98"/>
      <c r="D51" s="98"/>
      <c r="E51" s="98"/>
      <c r="F51" s="98"/>
      <c r="G51" s="98"/>
      <c r="H51" s="98"/>
      <c r="I51" s="98"/>
      <c r="J51" s="99"/>
      <c r="L51" s="113"/>
      <c r="M51" s="114"/>
      <c r="N51" s="114"/>
      <c r="O51" s="115"/>
      <c r="Q51" s="155"/>
      <c r="R51" s="155"/>
      <c r="S51" s="155"/>
      <c r="T51" s="155"/>
      <c r="U51" s="155"/>
      <c r="V51" s="155"/>
      <c r="W51" s="155"/>
      <c r="X51" s="155"/>
      <c r="Y51" s="155"/>
      <c r="AA51" s="141" t="s">
        <v>41</v>
      </c>
      <c r="AB51" s="102">
        <f>C44+C43+E44+E43+G44+G43</f>
        <v>16357.619999999999</v>
      </c>
    </row>
    <row r="52" spans="1:31" x14ac:dyDescent="0.3">
      <c r="A52" s="42"/>
      <c r="B52" s="87"/>
      <c r="C52" s="87"/>
      <c r="D52" s="87"/>
      <c r="E52" s="87"/>
      <c r="F52" s="87"/>
      <c r="G52" s="87"/>
      <c r="H52" s="87"/>
      <c r="I52" s="87"/>
      <c r="J52" s="88"/>
      <c r="L52" s="27"/>
      <c r="M52" s="86"/>
      <c r="N52" s="86"/>
      <c r="O52" s="29"/>
      <c r="AA52" s="26" t="s">
        <v>59</v>
      </c>
      <c r="AB52" s="176">
        <f>1-(AB51/AB50)</f>
        <v>0.328080701198047</v>
      </c>
    </row>
    <row r="53" spans="1:31" x14ac:dyDescent="0.3">
      <c r="A53" s="42"/>
      <c r="B53" s="87"/>
      <c r="C53" s="30"/>
      <c r="D53" s="79" t="s">
        <v>31</v>
      </c>
      <c r="E53" s="79"/>
      <c r="F53" s="80"/>
      <c r="G53" s="87"/>
      <c r="H53" s="87"/>
      <c r="I53" s="87"/>
      <c r="J53" s="88"/>
      <c r="L53" s="42"/>
      <c r="M53" s="87"/>
      <c r="N53" s="87"/>
      <c r="O53" s="88"/>
    </row>
    <row r="54" spans="1:31" x14ac:dyDescent="0.3">
      <c r="A54" s="42"/>
      <c r="B54" s="87"/>
      <c r="C54" s="60"/>
      <c r="D54" s="87"/>
      <c r="E54" s="81"/>
      <c r="F54" s="82"/>
      <c r="G54" s="87"/>
      <c r="H54" s="87"/>
      <c r="I54" s="87"/>
      <c r="J54" s="88"/>
      <c r="L54" s="42"/>
      <c r="M54" s="87"/>
      <c r="N54" s="87"/>
      <c r="O54" s="88"/>
      <c r="AA54" s="26" t="s">
        <v>72</v>
      </c>
      <c r="AB54" s="179"/>
    </row>
    <row r="55" spans="1:31" x14ac:dyDescent="0.3">
      <c r="A55" s="42"/>
      <c r="B55" s="38" t="s">
        <v>7</v>
      </c>
      <c r="C55" s="27"/>
      <c r="D55" s="64"/>
      <c r="E55" s="32"/>
      <c r="F55" s="32" t="s">
        <v>18</v>
      </c>
      <c r="G55" s="87"/>
      <c r="H55" s="87"/>
      <c r="I55" s="87"/>
      <c r="J55" s="88"/>
      <c r="L55" s="42"/>
      <c r="M55" s="87"/>
      <c r="N55" s="87"/>
      <c r="O55" s="88"/>
      <c r="AA55" s="141" t="s">
        <v>32</v>
      </c>
      <c r="AB55" s="103">
        <f>C20+C19+E19+E20</f>
        <v>8079.0999999999985</v>
      </c>
    </row>
    <row r="56" spans="1:31" x14ac:dyDescent="0.3">
      <c r="A56" s="42"/>
      <c r="B56" s="42" t="s">
        <v>8</v>
      </c>
      <c r="C56" s="43" t="s">
        <v>38</v>
      </c>
      <c r="D56" s="68"/>
      <c r="E56" s="37"/>
      <c r="F56" s="46" t="s">
        <v>88</v>
      </c>
      <c r="G56" s="87"/>
      <c r="H56" s="87"/>
      <c r="I56" s="87"/>
      <c r="J56" s="88"/>
      <c r="L56" s="42"/>
      <c r="M56" s="87"/>
      <c r="N56" s="87"/>
      <c r="O56" s="88"/>
      <c r="AA56" s="126" t="s">
        <v>71</v>
      </c>
      <c r="AB56" s="65">
        <f>C44+C43+E43+E44</f>
        <v>92.09999999999998</v>
      </c>
    </row>
    <row r="57" spans="1:31" x14ac:dyDescent="0.3">
      <c r="A57" s="42"/>
      <c r="B57" s="47" t="s">
        <v>1</v>
      </c>
      <c r="C57" s="43" t="s">
        <v>32</v>
      </c>
      <c r="D57" s="68"/>
      <c r="E57" s="83" t="s">
        <v>16</v>
      </c>
      <c r="F57" s="49">
        <v>3000000</v>
      </c>
      <c r="G57" s="87"/>
      <c r="H57" s="87"/>
      <c r="I57" s="87"/>
      <c r="J57" s="88"/>
      <c r="L57" s="42"/>
      <c r="M57" s="127"/>
      <c r="N57" s="148" t="s">
        <v>36</v>
      </c>
      <c r="O57" s="26" t="s">
        <v>80</v>
      </c>
      <c r="AA57" s="26" t="s">
        <v>59</v>
      </c>
      <c r="AB57" s="175">
        <f>1-AB56/AB55</f>
        <v>0.98860021537052389</v>
      </c>
    </row>
    <row r="58" spans="1:31" x14ac:dyDescent="0.3">
      <c r="A58" s="42"/>
      <c r="B58" s="47" t="s">
        <v>5</v>
      </c>
      <c r="C58" s="43">
        <v>2088</v>
      </c>
      <c r="D58" s="68"/>
      <c r="E58" s="83" t="s">
        <v>29</v>
      </c>
      <c r="F58" s="37">
        <v>1</v>
      </c>
      <c r="G58" s="87"/>
      <c r="H58" s="87"/>
      <c r="I58" s="87"/>
      <c r="J58" s="88"/>
      <c r="L58" s="42"/>
      <c r="M58" s="149" t="s">
        <v>34</v>
      </c>
      <c r="N58" s="116">
        <f>F57</f>
        <v>3000000</v>
      </c>
      <c r="O58" s="63">
        <f>N58/N60</f>
        <v>0.84850627541099521</v>
      </c>
    </row>
    <row r="59" spans="1:31" x14ac:dyDescent="0.3">
      <c r="A59" s="42"/>
      <c r="B59" s="47" t="s">
        <v>4</v>
      </c>
      <c r="C59" s="50">
        <v>0.05</v>
      </c>
      <c r="D59" s="68"/>
      <c r="E59" s="84" t="s">
        <v>28</v>
      </c>
      <c r="F59" s="53">
        <f>F57*F58</f>
        <v>3000000</v>
      </c>
      <c r="G59" s="87"/>
      <c r="H59" s="87"/>
      <c r="I59" s="87"/>
      <c r="J59" s="88"/>
      <c r="L59" s="42"/>
      <c r="M59" s="150" t="s">
        <v>35</v>
      </c>
      <c r="N59" s="87">
        <f>(C63)*2.5</f>
        <v>535625</v>
      </c>
      <c r="O59" s="67">
        <f>N59/N60</f>
        <v>0.15149372458900479</v>
      </c>
    </row>
    <row r="60" spans="1:31" x14ac:dyDescent="0.3">
      <c r="A60" s="42"/>
      <c r="B60" s="47" t="s">
        <v>3</v>
      </c>
      <c r="C60" s="43">
        <v>25</v>
      </c>
      <c r="D60" s="68"/>
      <c r="E60" s="54" t="s">
        <v>49</v>
      </c>
      <c r="F60" s="55">
        <v>0.19800000000000001</v>
      </c>
      <c r="G60" s="87"/>
      <c r="H60" s="87"/>
      <c r="I60" s="87"/>
      <c r="J60" s="88"/>
      <c r="L60" s="42"/>
      <c r="M60" s="133" t="s">
        <v>37</v>
      </c>
      <c r="N60" s="117">
        <f>N58+N59</f>
        <v>3535625</v>
      </c>
      <c r="O60" s="58"/>
    </row>
    <row r="61" spans="1:31" x14ac:dyDescent="0.3">
      <c r="A61" s="42"/>
      <c r="B61" s="47" t="s">
        <v>78</v>
      </c>
      <c r="C61" s="45">
        <v>32.700000000000003</v>
      </c>
      <c r="D61" s="68"/>
      <c r="E61" s="90"/>
      <c r="F61" s="90">
        <v>25</v>
      </c>
      <c r="G61" s="87"/>
      <c r="H61" s="87"/>
      <c r="I61" s="87"/>
      <c r="J61" s="88"/>
      <c r="L61" s="42"/>
      <c r="M61" s="87"/>
      <c r="N61" s="87"/>
      <c r="O61" s="88"/>
    </row>
    <row r="62" spans="1:31" x14ac:dyDescent="0.3">
      <c r="A62" s="42"/>
      <c r="B62" s="42" t="s">
        <v>15</v>
      </c>
      <c r="C62" s="56">
        <v>0.28999999999999998</v>
      </c>
      <c r="D62" s="68"/>
      <c r="E62" s="90"/>
      <c r="F62" s="90"/>
      <c r="G62" s="87"/>
      <c r="H62" s="87"/>
      <c r="I62" s="87"/>
      <c r="J62" s="88"/>
      <c r="L62" s="42"/>
      <c r="M62" s="87"/>
      <c r="N62" s="87"/>
      <c r="O62" s="88"/>
    </row>
    <row r="63" spans="1:31" x14ac:dyDescent="0.3">
      <c r="A63" s="42"/>
      <c r="B63" s="42" t="s">
        <v>33</v>
      </c>
      <c r="C63" s="43">
        <v>214250</v>
      </c>
      <c r="D63" s="68"/>
      <c r="E63" s="90"/>
      <c r="F63" s="90"/>
      <c r="G63" s="87"/>
      <c r="H63" s="87"/>
      <c r="I63" s="87"/>
      <c r="J63" s="88"/>
      <c r="L63" s="42"/>
      <c r="M63" s="87"/>
      <c r="N63" s="87"/>
      <c r="O63" s="88"/>
    </row>
    <row r="64" spans="1:31" x14ac:dyDescent="0.3">
      <c r="A64" s="42"/>
      <c r="B64" s="58" t="s">
        <v>6</v>
      </c>
      <c r="C64" s="59">
        <v>0.8</v>
      </c>
      <c r="D64" s="85"/>
      <c r="E64" s="87"/>
      <c r="F64" s="90"/>
      <c r="G64" s="87"/>
      <c r="H64" s="87"/>
      <c r="I64" s="87"/>
      <c r="J64" s="88"/>
      <c r="L64" s="42"/>
      <c r="M64" s="87"/>
      <c r="N64" s="87"/>
      <c r="O64" s="88"/>
    </row>
    <row r="65" spans="1:15" x14ac:dyDescent="0.3">
      <c r="A65" s="42"/>
      <c r="B65" s="87"/>
      <c r="C65" s="87"/>
      <c r="D65" s="87"/>
      <c r="E65" s="87"/>
      <c r="F65" s="87"/>
      <c r="G65" s="87"/>
      <c r="H65" s="87"/>
      <c r="I65" s="87"/>
      <c r="J65" s="88"/>
      <c r="L65" s="42"/>
      <c r="M65" s="87"/>
      <c r="N65" s="87"/>
      <c r="O65" s="88"/>
    </row>
    <row r="66" spans="1:15" x14ac:dyDescent="0.3">
      <c r="A66" s="42"/>
      <c r="B66" s="87"/>
      <c r="C66" s="87"/>
      <c r="D66" s="87"/>
      <c r="E66" s="87"/>
      <c r="F66" s="87"/>
      <c r="G66" s="87"/>
      <c r="H66" s="87"/>
      <c r="I66" s="87"/>
      <c r="J66" s="88"/>
      <c r="L66" s="42"/>
      <c r="M66" s="87"/>
      <c r="N66" s="87"/>
      <c r="O66" s="88"/>
    </row>
    <row r="67" spans="1:15" x14ac:dyDescent="0.3">
      <c r="A67" s="42"/>
      <c r="B67" s="87"/>
      <c r="C67" s="87"/>
      <c r="D67" s="87"/>
      <c r="E67" s="87"/>
      <c r="F67" s="87"/>
      <c r="G67" s="87"/>
      <c r="H67" s="87"/>
      <c r="I67" s="87"/>
      <c r="J67" s="88"/>
      <c r="L67" s="42"/>
      <c r="M67" s="87"/>
      <c r="N67" s="87"/>
      <c r="O67" s="88"/>
    </row>
    <row r="68" spans="1:15" x14ac:dyDescent="0.3">
      <c r="A68" s="42"/>
      <c r="B68" s="87"/>
      <c r="C68" s="87"/>
      <c r="D68" s="87"/>
      <c r="E68" s="87"/>
      <c r="F68" s="87"/>
      <c r="G68" s="87"/>
      <c r="H68" s="87"/>
      <c r="I68" s="87"/>
      <c r="J68" s="88"/>
      <c r="L68" s="42"/>
      <c r="M68" s="87"/>
      <c r="N68" s="87"/>
      <c r="O68" s="88"/>
    </row>
    <row r="69" spans="1:15" x14ac:dyDescent="0.3">
      <c r="A69" s="42"/>
      <c r="B69" s="38" t="s">
        <v>12</v>
      </c>
      <c r="C69" s="28">
        <f>(C58*C59*C60)</f>
        <v>2610</v>
      </c>
      <c r="D69" s="30"/>
      <c r="E69" s="66" t="s">
        <v>50</v>
      </c>
      <c r="F69" s="170">
        <f>F59*F60*F61</f>
        <v>14850000</v>
      </c>
      <c r="G69" s="87"/>
      <c r="H69" s="87"/>
      <c r="I69" s="87"/>
      <c r="J69" s="88"/>
      <c r="L69" s="42"/>
      <c r="M69" s="87"/>
      <c r="N69" s="87"/>
      <c r="O69" s="88"/>
    </row>
    <row r="70" spans="1:15" x14ac:dyDescent="0.3">
      <c r="A70" s="42"/>
      <c r="B70" s="47" t="s">
        <v>74</v>
      </c>
      <c r="C70" s="90">
        <f>C58*C61*(1-C64)</f>
        <v>13655.519999999999</v>
      </c>
      <c r="D70" s="68"/>
      <c r="E70" s="87"/>
      <c r="F70" s="87"/>
      <c r="G70" s="87"/>
      <c r="H70" s="87"/>
      <c r="I70" s="87"/>
      <c r="J70" s="88"/>
      <c r="L70" s="42"/>
      <c r="M70" s="87"/>
      <c r="N70" s="87"/>
      <c r="O70" s="88"/>
    </row>
    <row r="71" spans="1:15" x14ac:dyDescent="0.3">
      <c r="A71" s="42"/>
      <c r="B71" s="47" t="s">
        <v>14</v>
      </c>
      <c r="C71" s="90">
        <f>C62*C63*C60</f>
        <v>1553312.4999999998</v>
      </c>
      <c r="D71" s="68"/>
      <c r="E71" s="87"/>
      <c r="F71" s="87"/>
      <c r="G71" s="87"/>
      <c r="H71" s="87"/>
      <c r="I71" s="87"/>
      <c r="J71" s="88"/>
      <c r="L71" s="42"/>
      <c r="M71" s="87"/>
      <c r="N71" s="87"/>
      <c r="O71" s="88"/>
    </row>
    <row r="72" spans="1:15" x14ac:dyDescent="0.3">
      <c r="A72" s="33"/>
      <c r="B72" s="58" t="s">
        <v>11</v>
      </c>
      <c r="C72" s="167">
        <f>SUM(C69:C71)</f>
        <v>1569578.0199999998</v>
      </c>
      <c r="D72" s="100"/>
      <c r="E72" s="34"/>
      <c r="F72" s="34"/>
      <c r="G72" s="34"/>
      <c r="H72" s="34"/>
      <c r="I72" s="34"/>
      <c r="J72" s="35"/>
      <c r="L72" s="33"/>
      <c r="M72" s="34"/>
      <c r="N72" s="34"/>
      <c r="O72" s="35"/>
    </row>
    <row r="78" spans="1:15" x14ac:dyDescent="0.3">
      <c r="J78" s="12"/>
      <c r="L78" s="12"/>
      <c r="N78" s="12"/>
    </row>
    <row r="81" spans="11:12" x14ac:dyDescent="0.3">
      <c r="K81" s="11"/>
      <c r="L81" s="177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TEWI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1</dc:creator>
  <cp:lastModifiedBy>Wauters Joachim</cp:lastModifiedBy>
  <dcterms:created xsi:type="dcterms:W3CDTF">2023-05-03T07:01:37Z</dcterms:created>
  <dcterms:modified xsi:type="dcterms:W3CDTF">2023-06-12T10:59:01Z</dcterms:modified>
</cp:coreProperties>
</file>