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educuliegebe-my.sharepoint.com/personal/joachim_wauters_student_uliege_be/Documents/Bureau/Wauters Joachim mémoire/Wauters Joachim Annexes/"/>
    </mc:Choice>
  </mc:AlternateContent>
  <xr:revisionPtr revIDLastSave="47" documentId="8_{63D69B5E-46F6-4FA7-AF4F-82F28D9D16F3}" xr6:coauthVersionLast="47" xr6:coauthVersionMax="47" xr10:uidLastSave="{1475E067-F1CE-4EF7-9E63-9A75C52EE60E}"/>
  <bookViews>
    <workbookView xWindow="2472" yWindow="2472" windowWidth="17280" windowHeight="8880" activeTab="2" xr2:uid="{7B90655A-E080-41FF-B75D-41C4DF4B864A}"/>
  </bookViews>
  <sheets>
    <sheet name="Hypothèses" sheetId="3" r:id="rId1"/>
    <sheet name="Scénario 1 " sheetId="1" r:id="rId2"/>
    <sheet name="Scénario 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C64" i="3"/>
  <c r="L12" i="3" l="1"/>
  <c r="K12" i="3"/>
  <c r="B9" i="1"/>
  <c r="K5" i="3" l="1"/>
  <c r="C59" i="3"/>
  <c r="C60" i="3" s="1"/>
  <c r="L59" i="3"/>
  <c r="L62" i="3" s="1"/>
  <c r="E59" i="3"/>
  <c r="H10" i="3" s="1"/>
  <c r="E9" i="3" l="1"/>
  <c r="H5" i="2" l="1"/>
  <c r="G5" i="2"/>
  <c r="H7" i="1" l="1"/>
  <c r="G7" i="1"/>
  <c r="H50" i="3" l="1"/>
  <c r="E50" i="3"/>
  <c r="H8" i="3" s="1"/>
  <c r="M48" i="3"/>
  <c r="I54" i="3" s="1"/>
  <c r="L6" i="3" s="1"/>
  <c r="L48" i="3"/>
  <c r="H54" i="3" s="1"/>
  <c r="K6" i="3" s="1"/>
  <c r="L58" i="3"/>
  <c r="G6" i="2" l="1"/>
  <c r="G8" i="1"/>
  <c r="H6" i="2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L5" i="2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7" i="1"/>
  <c r="L8" i="1" s="1"/>
  <c r="L9" i="1" s="1"/>
  <c r="L10" i="1" s="1"/>
  <c r="L11" i="1" s="1"/>
  <c r="L12" i="1" s="1"/>
  <c r="L13" i="1" s="1"/>
  <c r="L14" i="1" s="1"/>
  <c r="L63" i="3"/>
  <c r="K9" i="3" s="1"/>
  <c r="K5" i="2"/>
  <c r="K7" i="1"/>
  <c r="I50" i="3"/>
  <c r="D57" i="3" s="1"/>
  <c r="J5" i="2" s="1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E4" i="2" l="1"/>
  <c r="G7" i="2"/>
  <c r="G9" i="1"/>
  <c r="L15" i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K6" i="2"/>
  <c r="M5" i="2"/>
  <c r="K8" i="1"/>
  <c r="D48" i="3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I4" i="2" l="1"/>
  <c r="O4" i="2" s="1"/>
  <c r="P4" i="2" s="1"/>
  <c r="G8" i="2"/>
  <c r="G10" i="1"/>
  <c r="M7" i="1"/>
  <c r="M8" i="1"/>
  <c r="K9" i="1"/>
  <c r="K7" i="2"/>
  <c r="M6" i="2"/>
  <c r="D59" i="3"/>
  <c r="D50" i="3"/>
  <c r="C50" i="3"/>
  <c r="C51" i="3" s="1"/>
  <c r="F7" i="1" l="1"/>
  <c r="F8" i="1" s="1"/>
  <c r="H7" i="3"/>
  <c r="F5" i="2"/>
  <c r="H9" i="3"/>
  <c r="E6" i="1"/>
  <c r="I6" i="1" s="1"/>
  <c r="O6" i="1" s="1"/>
  <c r="P6" i="1" s="1"/>
  <c r="E7" i="3"/>
  <c r="G11" i="1"/>
  <c r="G9" i="2"/>
  <c r="K8" i="2"/>
  <c r="M7" i="2"/>
  <c r="M9" i="1"/>
  <c r="K10" i="1"/>
  <c r="P7" i="1" l="1"/>
  <c r="F6" i="2"/>
  <c r="F7" i="2" s="1"/>
  <c r="I5" i="2"/>
  <c r="O5" i="2" s="1"/>
  <c r="P5" i="2" s="1"/>
  <c r="I7" i="1"/>
  <c r="O7" i="1" s="1"/>
  <c r="G12" i="1"/>
  <c r="G10" i="2"/>
  <c r="F9" i="1"/>
  <c r="I8" i="1"/>
  <c r="O8" i="1" s="1"/>
  <c r="M10" i="1"/>
  <c r="K11" i="1"/>
  <c r="K9" i="2"/>
  <c r="M8" i="2"/>
  <c r="P8" i="1" l="1"/>
  <c r="P9" i="1" s="1"/>
  <c r="I6" i="2"/>
  <c r="O6" i="2" s="1"/>
  <c r="P6" i="2" s="1"/>
  <c r="P7" i="2" s="1"/>
  <c r="F8" i="2"/>
  <c r="I7" i="2"/>
  <c r="O7" i="2" s="1"/>
  <c r="G13" i="1"/>
  <c r="G11" i="2"/>
  <c r="F10" i="1"/>
  <c r="I9" i="1"/>
  <c r="O9" i="1" s="1"/>
  <c r="K10" i="2"/>
  <c r="M9" i="2"/>
  <c r="M11" i="1"/>
  <c r="K12" i="1"/>
  <c r="F11" i="1" l="1"/>
  <c r="I10" i="1"/>
  <c r="O10" i="1" s="1"/>
  <c r="P10" i="1" s="1"/>
  <c r="G12" i="2"/>
  <c r="G14" i="1"/>
  <c r="F9" i="2"/>
  <c r="I8" i="2"/>
  <c r="O8" i="2" s="1"/>
  <c r="P8" i="2" s="1"/>
  <c r="M12" i="1"/>
  <c r="K13" i="1"/>
  <c r="K11" i="2"/>
  <c r="M10" i="2"/>
  <c r="G15" i="1" l="1"/>
  <c r="G13" i="2"/>
  <c r="F10" i="2"/>
  <c r="I9" i="2"/>
  <c r="O9" i="2" s="1"/>
  <c r="P9" i="2" s="1"/>
  <c r="F12" i="1"/>
  <c r="I11" i="1"/>
  <c r="O11" i="1" s="1"/>
  <c r="P11" i="1" s="1"/>
  <c r="K12" i="2"/>
  <c r="M11" i="2"/>
  <c r="M13" i="1"/>
  <c r="K14" i="1"/>
  <c r="F11" i="2" l="1"/>
  <c r="I10" i="2"/>
  <c r="O10" i="2" s="1"/>
  <c r="P10" i="2" s="1"/>
  <c r="G14" i="2"/>
  <c r="F13" i="1"/>
  <c r="I12" i="1"/>
  <c r="O12" i="1" s="1"/>
  <c r="P12" i="1" s="1"/>
  <c r="G16" i="1"/>
  <c r="M14" i="1"/>
  <c r="K15" i="1"/>
  <c r="K13" i="2"/>
  <c r="M12" i="2"/>
  <c r="F14" i="1" l="1"/>
  <c r="I13" i="1"/>
  <c r="O13" i="1" s="1"/>
  <c r="P13" i="1" s="1"/>
  <c r="G15" i="2"/>
  <c r="G17" i="1"/>
  <c r="F12" i="2"/>
  <c r="I11" i="2"/>
  <c r="O11" i="2" s="1"/>
  <c r="P11" i="2" s="1"/>
  <c r="K14" i="2"/>
  <c r="M13" i="2"/>
  <c r="M15" i="1"/>
  <c r="K16" i="1"/>
  <c r="G18" i="1" l="1"/>
  <c r="G16" i="2"/>
  <c r="F13" i="2"/>
  <c r="I12" i="2"/>
  <c r="O12" i="2" s="1"/>
  <c r="P12" i="2" s="1"/>
  <c r="F15" i="1"/>
  <c r="I14" i="1"/>
  <c r="O14" i="1" s="1"/>
  <c r="P14" i="1" s="1"/>
  <c r="M16" i="1"/>
  <c r="K17" i="1"/>
  <c r="K15" i="2"/>
  <c r="M14" i="2"/>
  <c r="G19" i="1" l="1"/>
  <c r="F14" i="2"/>
  <c r="I13" i="2"/>
  <c r="O13" i="2" s="1"/>
  <c r="P13" i="2" s="1"/>
  <c r="G17" i="2"/>
  <c r="F16" i="1"/>
  <c r="I15" i="1"/>
  <c r="O15" i="1" s="1"/>
  <c r="P15" i="1" s="1"/>
  <c r="K16" i="2"/>
  <c r="M15" i="2"/>
  <c r="M17" i="1"/>
  <c r="K18" i="1"/>
  <c r="F15" i="2" l="1"/>
  <c r="I14" i="2"/>
  <c r="O14" i="2" s="1"/>
  <c r="P14" i="2" s="1"/>
  <c r="G18" i="2"/>
  <c r="F17" i="1"/>
  <c r="I16" i="1"/>
  <c r="O16" i="1" s="1"/>
  <c r="P16" i="1" s="1"/>
  <c r="G20" i="1"/>
  <c r="M18" i="1"/>
  <c r="K19" i="1"/>
  <c r="K17" i="2"/>
  <c r="M16" i="2"/>
  <c r="P17" i="1" l="1"/>
  <c r="F18" i="1"/>
  <c r="I17" i="1"/>
  <c r="O17" i="1" s="1"/>
  <c r="G19" i="2"/>
  <c r="F16" i="2"/>
  <c r="I15" i="2"/>
  <c r="O15" i="2" s="1"/>
  <c r="P15" i="2" s="1"/>
  <c r="G21" i="1"/>
  <c r="K18" i="2"/>
  <c r="M17" i="2"/>
  <c r="M19" i="1"/>
  <c r="K20" i="1"/>
  <c r="G20" i="2" l="1"/>
  <c r="F19" i="1"/>
  <c r="I18" i="1"/>
  <c r="O18" i="1" s="1"/>
  <c r="P18" i="1" s="1"/>
  <c r="F17" i="2"/>
  <c r="I16" i="2"/>
  <c r="O16" i="2" s="1"/>
  <c r="P16" i="2" s="1"/>
  <c r="G22" i="1"/>
  <c r="M20" i="1"/>
  <c r="K21" i="1"/>
  <c r="K19" i="2"/>
  <c r="M18" i="2"/>
  <c r="F18" i="2" l="1"/>
  <c r="I17" i="2"/>
  <c r="O17" i="2" s="1"/>
  <c r="P17" i="2" s="1"/>
  <c r="F20" i="1"/>
  <c r="I19" i="1"/>
  <c r="O19" i="1" s="1"/>
  <c r="P19" i="1" s="1"/>
  <c r="G21" i="2"/>
  <c r="G23" i="1"/>
  <c r="K20" i="2"/>
  <c r="M19" i="2"/>
  <c r="M21" i="1"/>
  <c r="K22" i="1"/>
  <c r="P20" i="1" l="1"/>
  <c r="F21" i="1"/>
  <c r="I20" i="1"/>
  <c r="O20" i="1" s="1"/>
  <c r="G22" i="2"/>
  <c r="G24" i="1"/>
  <c r="F19" i="2"/>
  <c r="I18" i="2"/>
  <c r="O18" i="2" s="1"/>
  <c r="P18" i="2" s="1"/>
  <c r="M22" i="1"/>
  <c r="K23" i="1"/>
  <c r="K21" i="2"/>
  <c r="M20" i="2"/>
  <c r="P21" i="1" l="1"/>
  <c r="G25" i="1"/>
  <c r="G23" i="2"/>
  <c r="F22" i="1"/>
  <c r="I21" i="1"/>
  <c r="O21" i="1" s="1"/>
  <c r="F20" i="2"/>
  <c r="I19" i="2"/>
  <c r="O19" i="2" s="1"/>
  <c r="P19" i="2" s="1"/>
  <c r="K22" i="2"/>
  <c r="M21" i="2"/>
  <c r="M23" i="1"/>
  <c r="K24" i="1"/>
  <c r="P22" i="1" l="1"/>
  <c r="F23" i="1"/>
  <c r="I22" i="1"/>
  <c r="O22" i="1" s="1"/>
  <c r="G24" i="2"/>
  <c r="G26" i="1"/>
  <c r="F21" i="2"/>
  <c r="I20" i="2"/>
  <c r="O20" i="2" s="1"/>
  <c r="P20" i="2" s="1"/>
  <c r="M24" i="1"/>
  <c r="K25" i="1"/>
  <c r="K23" i="2"/>
  <c r="M22" i="2"/>
  <c r="G27" i="1" l="1"/>
  <c r="G25" i="2"/>
  <c r="F24" i="1"/>
  <c r="I23" i="1"/>
  <c r="O23" i="1" s="1"/>
  <c r="P23" i="1" s="1"/>
  <c r="F22" i="2"/>
  <c r="I21" i="2"/>
  <c r="O21" i="2" s="1"/>
  <c r="P21" i="2" s="1"/>
  <c r="K24" i="2"/>
  <c r="M23" i="2"/>
  <c r="M25" i="1"/>
  <c r="K26" i="1"/>
  <c r="P24" i="1" l="1"/>
  <c r="F25" i="1"/>
  <c r="I24" i="1"/>
  <c r="O24" i="1" s="1"/>
  <c r="G26" i="2"/>
  <c r="F23" i="2"/>
  <c r="I22" i="2"/>
  <c r="O22" i="2" s="1"/>
  <c r="P22" i="2" s="1"/>
  <c r="G28" i="1"/>
  <c r="M26" i="1"/>
  <c r="K27" i="1"/>
  <c r="K25" i="2"/>
  <c r="M24" i="2"/>
  <c r="G27" i="2" l="1"/>
  <c r="F26" i="1"/>
  <c r="I25" i="1"/>
  <c r="O25" i="1" s="1"/>
  <c r="P25" i="1" s="1"/>
  <c r="F24" i="2"/>
  <c r="I23" i="2"/>
  <c r="O23" i="2" s="1"/>
  <c r="P23" i="2" s="1"/>
  <c r="G29" i="1"/>
  <c r="K26" i="2"/>
  <c r="M25" i="2"/>
  <c r="M27" i="1"/>
  <c r="K28" i="1"/>
  <c r="F25" i="2" l="1"/>
  <c r="I24" i="2"/>
  <c r="O24" i="2" s="1"/>
  <c r="P24" i="2" s="1"/>
  <c r="F27" i="1"/>
  <c r="I26" i="1"/>
  <c r="O26" i="1" s="1"/>
  <c r="P26" i="1" s="1"/>
  <c r="G30" i="1"/>
  <c r="G28" i="2"/>
  <c r="M28" i="1"/>
  <c r="K29" i="1"/>
  <c r="K27" i="2"/>
  <c r="M26" i="2"/>
  <c r="P27" i="1" l="1"/>
  <c r="F28" i="1"/>
  <c r="I27" i="1"/>
  <c r="O27" i="1" s="1"/>
  <c r="F26" i="2"/>
  <c r="I25" i="2"/>
  <c r="O25" i="2" s="1"/>
  <c r="P25" i="2" s="1"/>
  <c r="G31" i="1"/>
  <c r="G29" i="2"/>
  <c r="M29" i="1"/>
  <c r="K30" i="1"/>
  <c r="K28" i="2"/>
  <c r="M27" i="2"/>
  <c r="P28" i="1" l="1"/>
  <c r="G32" i="1"/>
  <c r="F27" i="2"/>
  <c r="I26" i="2"/>
  <c r="O26" i="2" s="1"/>
  <c r="P26" i="2" s="1"/>
  <c r="G30" i="2"/>
  <c r="F29" i="1"/>
  <c r="I28" i="1"/>
  <c r="O28" i="1" s="1"/>
  <c r="M30" i="1"/>
  <c r="K31" i="1"/>
  <c r="K29" i="2"/>
  <c r="M28" i="2"/>
  <c r="G31" i="2" l="1"/>
  <c r="F28" i="2"/>
  <c r="I27" i="2"/>
  <c r="O27" i="2" s="1"/>
  <c r="P27" i="2" s="1"/>
  <c r="F30" i="1"/>
  <c r="I29" i="1"/>
  <c r="O29" i="1" s="1"/>
  <c r="P29" i="1" s="1"/>
  <c r="G33" i="1"/>
  <c r="M31" i="1"/>
  <c r="K32" i="1"/>
  <c r="M29" i="2"/>
  <c r="K30" i="2"/>
  <c r="P30" i="1" l="1"/>
  <c r="F31" i="1"/>
  <c r="I30" i="1"/>
  <c r="O30" i="1" s="1"/>
  <c r="F29" i="2"/>
  <c r="I28" i="2"/>
  <c r="O28" i="2" s="1"/>
  <c r="P28" i="2" s="1"/>
  <c r="G32" i="2"/>
  <c r="G34" i="1"/>
  <c r="K31" i="2"/>
  <c r="M30" i="2"/>
  <c r="M32" i="1"/>
  <c r="K33" i="1"/>
  <c r="P31" i="1" l="1"/>
  <c r="G33" i="2"/>
  <c r="F30" i="2"/>
  <c r="I30" i="2" s="1"/>
  <c r="I29" i="2"/>
  <c r="O29" i="2" s="1"/>
  <c r="P29" i="2" s="1"/>
  <c r="G35" i="1"/>
  <c r="F32" i="1"/>
  <c r="I31" i="1"/>
  <c r="O31" i="1" s="1"/>
  <c r="K34" i="1"/>
  <c r="M33" i="1"/>
  <c r="K32" i="2"/>
  <c r="M31" i="2"/>
  <c r="G36" i="1" l="1"/>
  <c r="F31" i="2"/>
  <c r="O30" i="2"/>
  <c r="P30" i="2" s="1"/>
  <c r="G34" i="2"/>
  <c r="F33" i="1"/>
  <c r="I32" i="1"/>
  <c r="K33" i="2"/>
  <c r="M32" i="2"/>
  <c r="K35" i="1"/>
  <c r="M34" i="1"/>
  <c r="O32" i="1" l="1"/>
  <c r="P32" i="1" s="1"/>
  <c r="P33" i="1" s="1"/>
  <c r="F32" i="2"/>
  <c r="I31" i="2"/>
  <c r="O31" i="2" s="1"/>
  <c r="P31" i="2" s="1"/>
  <c r="F34" i="1"/>
  <c r="I33" i="1"/>
  <c r="O33" i="1" s="1"/>
  <c r="K36" i="1"/>
  <c r="M35" i="1"/>
  <c r="K34" i="2"/>
  <c r="M33" i="2"/>
  <c r="P34" i="1" l="1"/>
  <c r="F33" i="2"/>
  <c r="I32" i="2"/>
  <c r="O32" i="2" s="1"/>
  <c r="P32" i="2" s="1"/>
  <c r="F35" i="1"/>
  <c r="I34" i="1"/>
  <c r="O34" i="1" s="1"/>
  <c r="M36" i="1"/>
  <c r="M34" i="2"/>
  <c r="P35" i="1" l="1"/>
  <c r="F36" i="1"/>
  <c r="I35" i="1"/>
  <c r="O35" i="1" s="1"/>
  <c r="F34" i="2"/>
  <c r="I33" i="2"/>
  <c r="O33" i="2" s="1"/>
  <c r="P33" i="2" s="1"/>
  <c r="P36" i="1" l="1"/>
  <c r="I34" i="2"/>
  <c r="O34" i="2" s="1"/>
  <c r="P34" i="2" s="1"/>
  <c r="I36" i="1"/>
  <c r="O36" i="1" s="1"/>
  <c r="R4" i="2" l="1"/>
  <c r="R6" i="1" l="1"/>
</calcChain>
</file>

<file path=xl/sharedStrings.xml><?xml version="1.0" encoding="utf-8"?>
<sst xmlns="http://schemas.openxmlformats.org/spreadsheetml/2006/main" count="96" uniqueCount="72">
  <si>
    <t xml:space="preserve">Information concernant le projet : </t>
  </si>
  <si>
    <t>Cout PAC 4 Tubes</t>
  </si>
  <si>
    <t>Cout PAC 2 Tubes réversible</t>
  </si>
  <si>
    <t>Feeder</t>
  </si>
  <si>
    <t xml:space="preserve">Groupe froid existant </t>
  </si>
  <si>
    <t xml:space="preserve">Total </t>
  </si>
  <si>
    <t>Actualisation entretiens (%)</t>
  </si>
  <si>
    <t>Actualisation cout énergie (%)</t>
  </si>
  <si>
    <t>Taux du prêt (%)</t>
  </si>
  <si>
    <t>Nombre heures</t>
  </si>
  <si>
    <t>PAC</t>
  </si>
  <si>
    <t>Année</t>
  </si>
  <si>
    <t>Nombre d'entretiens annuel</t>
  </si>
  <si>
    <t>Années</t>
  </si>
  <si>
    <t>Consmation élec (MWh)</t>
  </si>
  <si>
    <t>Puisssance froide (KW)</t>
  </si>
  <si>
    <t>Consomation gaz actuelle (MWh)</t>
  </si>
  <si>
    <t>Situation 2023 (avant rénovation)</t>
  </si>
  <si>
    <t>4mois pdt 10h</t>
  </si>
  <si>
    <t xml:space="preserve"> Estimation ULG 2027</t>
  </si>
  <si>
    <t>Augmentation annuelle</t>
  </si>
  <si>
    <t xml:space="preserve">Consomation annuelle elec  </t>
  </si>
  <si>
    <t xml:space="preserve">Consomation annuelle Gaz </t>
  </si>
  <si>
    <t>Entretiens annuels</t>
  </si>
  <si>
    <t>Gain annuel</t>
  </si>
  <si>
    <t>Tri</t>
  </si>
  <si>
    <t xml:space="preserve">COP Chiller existant </t>
  </si>
  <si>
    <t>Total PAC</t>
  </si>
  <si>
    <t>Augmentation investissement</t>
  </si>
  <si>
    <t xml:space="preserve">Augmentation an. Inv. </t>
  </si>
  <si>
    <t>Investissement suplémentaire</t>
  </si>
  <si>
    <t xml:space="preserve">Capex </t>
  </si>
  <si>
    <t xml:space="preserve">Opex </t>
  </si>
  <si>
    <t>Solution 1</t>
  </si>
  <si>
    <t>Solution 2</t>
  </si>
  <si>
    <t>Actualisation prix d'achat des machines (%)</t>
  </si>
  <si>
    <t>Durée de vie de la rénovation de l'enveloppe (années)</t>
  </si>
  <si>
    <t>Durée de vie des machines utilisées (années)</t>
  </si>
  <si>
    <t>Valeur résiduelle (€)</t>
  </si>
  <si>
    <t>Temps de retour</t>
  </si>
  <si>
    <t>Valeur résiduelle</t>
  </si>
  <si>
    <t>Temps de retour 2</t>
  </si>
  <si>
    <t>Temps de retour 1</t>
  </si>
  <si>
    <r>
      <t>Investissement total (</t>
    </r>
    <r>
      <rPr>
        <sz val="11"/>
        <color theme="1"/>
        <rFont val="Calibri"/>
        <family val="2"/>
      </rPr>
      <t>€</t>
    </r>
    <r>
      <rPr>
        <sz val="9"/>
        <color theme="1"/>
        <rFont val="Calibri"/>
        <family val="2"/>
      </rPr>
      <t>)</t>
    </r>
  </si>
  <si>
    <t>Investissement total (€)</t>
  </si>
  <si>
    <t>Coût annuel entretiens  (€/an)</t>
  </si>
  <si>
    <t>Coût consomation annuel (€/an)</t>
  </si>
  <si>
    <t>Coût annuel entretiens (€/an)</t>
  </si>
  <si>
    <t>Actualisation coût énergie (%)</t>
  </si>
  <si>
    <t>Coût consomation actuelle  (€/an)</t>
  </si>
  <si>
    <t>Coût d'achat des technologies (€)</t>
  </si>
  <si>
    <t>Coût des consomations (€/an)</t>
  </si>
  <si>
    <r>
      <t>Coût de l'entretien (</t>
    </r>
    <r>
      <rPr>
        <sz val="11"/>
        <color theme="1"/>
        <rFont val="Calibri"/>
        <family val="2"/>
      </rPr>
      <t>€/an)</t>
    </r>
  </si>
  <si>
    <t xml:space="preserve">Détail des cout entretiens </t>
  </si>
  <si>
    <r>
      <t>Coût technitien (</t>
    </r>
    <r>
      <rPr>
        <sz val="11"/>
        <color theme="1"/>
        <rFont val="Calibri"/>
        <family val="2"/>
      </rPr>
      <t xml:space="preserve">€/heure) </t>
    </r>
  </si>
  <si>
    <t>Coût consomable</t>
  </si>
  <si>
    <t>Coût total</t>
  </si>
  <si>
    <t>Coût chiller</t>
  </si>
  <si>
    <t>Coût PAC 2 Tubes réversible</t>
  </si>
  <si>
    <r>
      <t>Coût électricité (</t>
    </r>
    <r>
      <rPr>
        <sz val="11"/>
        <color theme="1"/>
        <rFont val="Calibri"/>
        <family val="2"/>
      </rPr>
      <t>€/MWh)</t>
    </r>
  </si>
  <si>
    <r>
      <t>Coût Gaz (</t>
    </r>
    <r>
      <rPr>
        <sz val="11"/>
        <color theme="1"/>
        <rFont val="Calibri"/>
        <family val="2"/>
      </rPr>
      <t>€/MWh)</t>
    </r>
  </si>
  <si>
    <t xml:space="preserve">Nombre d'heures de fonctionnement </t>
  </si>
  <si>
    <t xml:space="preserve">Coût du gaz (MWh) </t>
  </si>
  <si>
    <t>Coût chauffage annuel (€/an)</t>
  </si>
  <si>
    <r>
      <t>Coût électricité(</t>
    </r>
    <r>
      <rPr>
        <sz val="11"/>
        <color theme="1"/>
        <rFont val="Calibri"/>
        <family val="2"/>
      </rPr>
      <t>€</t>
    </r>
    <r>
      <rPr>
        <sz val="11"/>
        <color theme="1"/>
        <rFont val="Calibri"/>
        <family val="2"/>
        <scheme val="minor"/>
      </rPr>
      <t xml:space="preserve"> /MWh)</t>
    </r>
  </si>
  <si>
    <t>Coût annuel en électricité (€/an)</t>
  </si>
  <si>
    <t>Coût total annuel (avant renovation)</t>
  </si>
  <si>
    <t>Investissement</t>
  </si>
  <si>
    <t>Coût  rénovation</t>
  </si>
  <si>
    <t>Ancien coût elec</t>
  </si>
  <si>
    <t>Ancien coût gaz</t>
  </si>
  <si>
    <t>Coût sans rénovation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</si>
</sst>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</font>
    <font>
      <sz val="9"/>
      <color rgb="FF24242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3" borderId="0" xfId="0" applyFill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0" xfId="0" applyFill="1" applyAlignment="1">
      <alignment horizontal="left"/>
    </xf>
    <xf numFmtId="9" fontId="0" fillId="3" borderId="10" xfId="0" applyNumberFormat="1" applyFill="1" applyBorder="1" applyAlignment="1">
      <alignment horizontal="center"/>
    </xf>
    <xf numFmtId="9" fontId="0" fillId="3" borderId="11" xfId="0" applyNumberFormat="1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9" fontId="0" fillId="3" borderId="13" xfId="1" applyFont="1" applyFill="1" applyBorder="1" applyAlignment="1">
      <alignment horizontal="center"/>
    </xf>
    <xf numFmtId="9" fontId="0" fillId="3" borderId="15" xfId="1" applyFont="1" applyFill="1" applyBorder="1" applyAlignment="1">
      <alignment horizontal="center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1" fontId="0" fillId="3" borderId="6" xfId="0" applyNumberFormat="1" applyFill="1" applyBorder="1" applyAlignment="1">
      <alignment horizontal="center"/>
    </xf>
    <xf numFmtId="1" fontId="0" fillId="3" borderId="9" xfId="0" applyNumberFormat="1" applyFill="1" applyBorder="1" applyAlignment="1">
      <alignment horizont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2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0" fillId="0" borderId="0" xfId="0" applyNumberFormat="1"/>
    <xf numFmtId="1" fontId="0" fillId="0" borderId="10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2" borderId="10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" xfId="0" applyFill="1" applyBorder="1" applyAlignment="1">
      <alignment horizontal="left"/>
    </xf>
    <xf numFmtId="0" fontId="0" fillId="2" borderId="14" xfId="0" applyFill="1" applyBorder="1"/>
    <xf numFmtId="0" fontId="0" fillId="2" borderId="15" xfId="0" applyFill="1" applyBorder="1"/>
    <xf numFmtId="0" fontId="0" fillId="2" borderId="13" xfId="0" applyFill="1" applyBorder="1" applyAlignment="1">
      <alignment horizontal="left"/>
    </xf>
    <xf numFmtId="0" fontId="0" fillId="2" borderId="11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12" xfId="0" applyFill="1" applyBorder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5" xfId="0" applyFill="1" applyBorder="1"/>
    <xf numFmtId="0" fontId="0" fillId="3" borderId="6" xfId="0" applyFill="1" applyBorder="1"/>
    <xf numFmtId="0" fontId="0" fillId="0" borderId="1" xfId="0" applyBorder="1"/>
    <xf numFmtId="9" fontId="0" fillId="0" borderId="4" xfId="0" applyNumberForma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0" xfId="1" applyFont="1" applyFill="1" applyAlignment="1">
      <alignment horizontal="center"/>
    </xf>
    <xf numFmtId="9" fontId="0" fillId="0" borderId="0" xfId="1" applyFont="1" applyFill="1"/>
    <xf numFmtId="10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/>
    <xf numFmtId="0" fontId="0" fillId="0" borderId="7" xfId="0" applyBorder="1"/>
    <xf numFmtId="164" fontId="4" fillId="0" borderId="9" xfId="0" applyNumberFormat="1" applyFont="1" applyBorder="1" applyAlignment="1">
      <alignment horizontal="center"/>
    </xf>
    <xf numFmtId="10" fontId="0" fillId="0" borderId="15" xfId="0" applyNumberFormat="1" applyBorder="1" applyAlignment="1">
      <alignment horizontal="center"/>
    </xf>
    <xf numFmtId="0" fontId="0" fillId="2" borderId="1" xfId="0" applyFill="1" applyBorder="1" applyAlignment="1">
      <alignment vertical="center"/>
    </xf>
    <xf numFmtId="9" fontId="0" fillId="0" borderId="0" xfId="1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Temps de retour</a:t>
            </a:r>
          </a:p>
        </c:rich>
      </c:tx>
      <c:layout>
        <c:manualLayout>
          <c:xMode val="edge"/>
          <c:yMode val="edge"/>
          <c:x val="0.47699025261165157"/>
          <c:y val="2.74509818048984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'Scénario 1 '!$P$5</c:f>
              <c:strCache>
                <c:ptCount val="1"/>
                <c:pt idx="0">
                  <c:v>Temps de retour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'Scénario 1 '!$P$6:$P$36</c:f>
              <c:numCache>
                <c:formatCode>0</c:formatCode>
                <c:ptCount val="31"/>
                <c:pt idx="0">
                  <c:v>-26968880</c:v>
                </c:pt>
                <c:pt idx="1">
                  <c:v>-26656685.155172415</c:v>
                </c:pt>
                <c:pt idx="2">
                  <c:v>-26315333.998355266</c:v>
                </c:pt>
                <c:pt idx="3">
                  <c:v>-25942149.70711175</c:v>
                </c:pt>
                <c:pt idx="4">
                  <c:v>-25534210.442422163</c:v>
                </c:pt>
                <c:pt idx="5">
                  <c:v>-25088326.925571356</c:v>
                </c:pt>
                <c:pt idx="6">
                  <c:v>-24601017.962296505</c:v>
                </c:pt>
                <c:pt idx="7">
                  <c:v>-24068483.726213858</c:v>
                </c:pt>
                <c:pt idx="8">
                  <c:v>-23486576.596324194</c:v>
                </c:pt>
                <c:pt idx="9">
                  <c:v>-22850769.324599963</c:v>
                </c:pt>
                <c:pt idx="10">
                  <c:v>-22156120.289138496</c:v>
                </c:pt>
                <c:pt idx="11">
                  <c:v>-21397235.565966889</c:v>
                </c:pt>
                <c:pt idx="12">
                  <c:v>-20568227.528133437</c:v>
                </c:pt>
                <c:pt idx="13">
                  <c:v>-19662669.654029287</c:v>
                </c:pt>
                <c:pt idx="14">
                  <c:v>-18673547.197747521</c:v>
                </c:pt>
                <c:pt idx="15">
                  <c:v>-17593203.342480555</c:v>
                </c:pt>
                <c:pt idx="16">
                  <c:v>-16413280.423236372</c:v>
                </c:pt>
                <c:pt idx="17">
                  <c:v>-15124655.767252339</c:v>
                </c:pt>
                <c:pt idx="18">
                  <c:v>-13717371.659110798</c:v>
                </c:pt>
                <c:pt idx="19">
                  <c:v>-12180558.892395008</c:v>
                </c:pt>
                <c:pt idx="20">
                  <c:v>-11003196.435394743</c:v>
                </c:pt>
                <c:pt idx="21">
                  <c:v>-9170647.8797256984</c:v>
                </c:pt>
                <c:pt idx="22">
                  <c:v>-7169620.6964433584</c:v>
                </c:pt>
                <c:pt idx="23">
                  <c:v>-4984685.2359782923</c:v>
                </c:pt>
                <c:pt idx="24">
                  <c:v>-2598999.3623222164</c:v>
                </c:pt>
                <c:pt idx="25">
                  <c:v>5820.8790054433048</c:v>
                </c:pt>
                <c:pt idx="26">
                  <c:v>2849842.4382907101</c:v>
                </c:pt>
                <c:pt idx="27">
                  <c:v>5954969.3693915121</c:v>
                </c:pt>
                <c:pt idx="28">
                  <c:v>9345111.0524955653</c:v>
                </c:pt>
                <c:pt idx="29">
                  <c:v>13046365.824963234</c:v>
                </c:pt>
                <c:pt idx="30">
                  <c:v>17337642.989317495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96-40DA-8B72-A0678E41D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4848335"/>
        <c:axId val="574826735"/>
      </c:lineChart>
      <c:catAx>
        <c:axId val="57484833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4826735"/>
        <c:crosses val="autoZero"/>
        <c:auto val="1"/>
        <c:lblAlgn val="ctr"/>
        <c:lblOffset val="100"/>
        <c:noMultiLvlLbl val="0"/>
      </c:catAx>
      <c:valAx>
        <c:axId val="574826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4848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'Scénario 2'!$P$3</c:f>
              <c:strCache>
                <c:ptCount val="1"/>
                <c:pt idx="0">
                  <c:v>Temps de retour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'Scénario 2'!$P$4:$P$34</c:f>
              <c:numCache>
                <c:formatCode>0</c:formatCode>
                <c:ptCount val="31"/>
                <c:pt idx="0">
                  <c:v>-26845730</c:v>
                </c:pt>
                <c:pt idx="1">
                  <c:v>-26532533.155172415</c:v>
                </c:pt>
                <c:pt idx="2">
                  <c:v>-26190187.058442984</c:v>
                </c:pt>
                <c:pt idx="3">
                  <c:v>-25816016.841192175</c:v>
                </c:pt>
                <c:pt idx="4">
                  <c:v>-25407102.778532442</c:v>
                </c:pt>
                <c:pt idx="5">
                  <c:v>-24960257.877511125</c:v>
                </c:pt>
                <c:pt idx="6">
                  <c:v>-24472003.413342379</c:v>
                </c:pt>
                <c:pt idx="7">
                  <c:v>-23938542.225738429</c:v>
                </c:pt>
                <c:pt idx="8">
                  <c:v>-23355729.570194975</c:v>
                </c:pt>
                <c:pt idx="9">
                  <c:v>-22719041.300292585</c:v>
                </c:pt>
                <c:pt idx="10">
                  <c:v>-22023539.136561114</c:v>
                </c:pt>
                <c:pt idx="11">
                  <c:v>-21263832.755059794</c:v>
                </c:pt>
                <c:pt idx="12">
                  <c:v>-20434038.404379189</c:v>
                </c:pt>
                <c:pt idx="13">
                  <c:v>-19527733.733085014</c:v>
                </c:pt>
                <c:pt idx="14">
                  <c:v>-18537908.480492216</c:v>
                </c:pt>
                <c:pt idx="15">
                  <c:v>-17456910.651857048</c:v>
                </c:pt>
                <c:pt idx="16">
                  <c:v>-16276387.764360188</c:v>
                </c:pt>
                <c:pt idx="17">
                  <c:v>-14987222.712358367</c:v>
                </c:pt>
                <c:pt idx="18">
                  <c:v>-13579463.759014145</c:v>
                </c:pt>
                <c:pt idx="19">
                  <c:v>-12042248.116254788</c:v>
                </c:pt>
                <c:pt idx="20">
                  <c:v>-10662766.02606773</c:v>
                </c:pt>
                <c:pt idx="21">
                  <c:v>-8829979.6998553611</c:v>
                </c:pt>
                <c:pt idx="22">
                  <c:v>-6828808.9212398827</c:v>
                </c:pt>
                <c:pt idx="23">
                  <c:v>-4643832.5412261151</c:v>
                </c:pt>
                <c:pt idx="24">
                  <c:v>-2258217.5369806243</c:v>
                </c:pt>
                <c:pt idx="25">
                  <c:v>346410.2783466978</c:v>
                </c:pt>
                <c:pt idx="26">
                  <c:v>3190107.3882836611</c:v>
                </c:pt>
                <c:pt idx="27">
                  <c:v>6294766.6331241895</c:v>
                </c:pt>
                <c:pt idx="28">
                  <c:v>9684285.3818008453</c:v>
                </c:pt>
                <c:pt idx="29">
                  <c:v>13384749.108420126</c:v>
                </c:pt>
                <c:pt idx="30">
                  <c:v>17574155.53498251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85-4E29-ABD7-7681059E2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0922848"/>
        <c:axId val="410925248"/>
      </c:lineChart>
      <c:catAx>
        <c:axId val="410922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0925248"/>
        <c:crosses val="autoZero"/>
        <c:auto val="1"/>
        <c:lblAlgn val="ctr"/>
        <c:lblOffset val="100"/>
        <c:noMultiLvlLbl val="0"/>
      </c:catAx>
      <c:valAx>
        <c:axId val="41092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092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Comparaison des temps de retour</a:t>
            </a:r>
          </a:p>
        </c:rich>
      </c:tx>
      <c:layout>
        <c:manualLayout>
          <c:xMode val="edge"/>
          <c:yMode val="edge"/>
          <c:x val="0.34317344706911634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'Scénario 2'!$P$3</c:f>
              <c:strCache>
                <c:ptCount val="1"/>
                <c:pt idx="0">
                  <c:v>Temps de retour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'Scénario 2'!$P$4:$P$34</c:f>
              <c:numCache>
                <c:formatCode>0</c:formatCode>
                <c:ptCount val="31"/>
                <c:pt idx="0">
                  <c:v>-26845730</c:v>
                </c:pt>
                <c:pt idx="1">
                  <c:v>-26532533.155172415</c:v>
                </c:pt>
                <c:pt idx="2">
                  <c:v>-26190187.058442984</c:v>
                </c:pt>
                <c:pt idx="3">
                  <c:v>-25816016.841192175</c:v>
                </c:pt>
                <c:pt idx="4">
                  <c:v>-25407102.778532442</c:v>
                </c:pt>
                <c:pt idx="5">
                  <c:v>-24960257.877511125</c:v>
                </c:pt>
                <c:pt idx="6">
                  <c:v>-24472003.413342379</c:v>
                </c:pt>
                <c:pt idx="7">
                  <c:v>-23938542.225738429</c:v>
                </c:pt>
                <c:pt idx="8">
                  <c:v>-23355729.570194975</c:v>
                </c:pt>
                <c:pt idx="9">
                  <c:v>-22719041.300292585</c:v>
                </c:pt>
                <c:pt idx="10">
                  <c:v>-22023539.136561114</c:v>
                </c:pt>
                <c:pt idx="11">
                  <c:v>-21263832.755059794</c:v>
                </c:pt>
                <c:pt idx="12">
                  <c:v>-20434038.404379189</c:v>
                </c:pt>
                <c:pt idx="13">
                  <c:v>-19527733.733085014</c:v>
                </c:pt>
                <c:pt idx="14">
                  <c:v>-18537908.480492216</c:v>
                </c:pt>
                <c:pt idx="15">
                  <c:v>-17456910.651857048</c:v>
                </c:pt>
                <c:pt idx="16">
                  <c:v>-16276387.764360188</c:v>
                </c:pt>
                <c:pt idx="17">
                  <c:v>-14987222.712358367</c:v>
                </c:pt>
                <c:pt idx="18">
                  <c:v>-13579463.759014145</c:v>
                </c:pt>
                <c:pt idx="19">
                  <c:v>-12042248.116254788</c:v>
                </c:pt>
                <c:pt idx="20">
                  <c:v>-10662766.02606773</c:v>
                </c:pt>
                <c:pt idx="21">
                  <c:v>-8829979.6998553611</c:v>
                </c:pt>
                <c:pt idx="22">
                  <c:v>-6828808.9212398827</c:v>
                </c:pt>
                <c:pt idx="23">
                  <c:v>-4643832.5412261151</c:v>
                </c:pt>
                <c:pt idx="24">
                  <c:v>-2258217.5369806243</c:v>
                </c:pt>
                <c:pt idx="25">
                  <c:v>346410.2783466978</c:v>
                </c:pt>
                <c:pt idx="26">
                  <c:v>3190107.3882836611</c:v>
                </c:pt>
                <c:pt idx="27">
                  <c:v>6294766.6331241895</c:v>
                </c:pt>
                <c:pt idx="28">
                  <c:v>9684285.3818008453</c:v>
                </c:pt>
                <c:pt idx="29">
                  <c:v>13384749.108420126</c:v>
                </c:pt>
                <c:pt idx="30">
                  <c:v>17574155.53498251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AC-4589-AB25-886CDA6100CD}"/>
            </c:ext>
          </c:extLst>
        </c:ser>
        <c:ser>
          <c:idx val="1"/>
          <c:order val="1"/>
          <c:tx>
            <c:strRef>
              <c:f>'Scénario 2'!$Q$3</c:f>
              <c:strCache>
                <c:ptCount val="1"/>
                <c:pt idx="0">
                  <c:v>Temps de retour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'Scénario 2'!$Q$4:$Q$34</c:f>
              <c:numCache>
                <c:formatCode>0</c:formatCode>
                <c:ptCount val="31"/>
                <c:pt idx="0">
                  <c:v>-27008880</c:v>
                </c:pt>
                <c:pt idx="1">
                  <c:v>-26696685.155172415</c:v>
                </c:pt>
                <c:pt idx="2">
                  <c:v>-26355333.998355266</c:v>
                </c:pt>
                <c:pt idx="3">
                  <c:v>-25982149.70711175</c:v>
                </c:pt>
                <c:pt idx="4">
                  <c:v>-25574210.442422163</c:v>
                </c:pt>
                <c:pt idx="5">
                  <c:v>-25128326.925571356</c:v>
                </c:pt>
                <c:pt idx="6">
                  <c:v>-24641017.962296505</c:v>
                </c:pt>
                <c:pt idx="7">
                  <c:v>-24108483.726213858</c:v>
                </c:pt>
                <c:pt idx="8">
                  <c:v>-23526576.596324194</c:v>
                </c:pt>
                <c:pt idx="9">
                  <c:v>-22890769.324599963</c:v>
                </c:pt>
                <c:pt idx="10">
                  <c:v>-22196120.289138496</c:v>
                </c:pt>
                <c:pt idx="11">
                  <c:v>-21437235.565966889</c:v>
                </c:pt>
                <c:pt idx="12">
                  <c:v>-20608227.528133437</c:v>
                </c:pt>
                <c:pt idx="13">
                  <c:v>-19702669.654029287</c:v>
                </c:pt>
                <c:pt idx="14">
                  <c:v>-18713547.197747521</c:v>
                </c:pt>
                <c:pt idx="15">
                  <c:v>-17633203.342480555</c:v>
                </c:pt>
                <c:pt idx="16">
                  <c:v>-16453280.423236372</c:v>
                </c:pt>
                <c:pt idx="17">
                  <c:v>-15164655.767252339</c:v>
                </c:pt>
                <c:pt idx="18">
                  <c:v>-13757371.659110798</c:v>
                </c:pt>
                <c:pt idx="19">
                  <c:v>-12220558.892395008</c:v>
                </c:pt>
                <c:pt idx="20">
                  <c:v>-11043196.435394743</c:v>
                </c:pt>
                <c:pt idx="21">
                  <c:v>-9210647.8797256984</c:v>
                </c:pt>
                <c:pt idx="22">
                  <c:v>-7209620.6964433584</c:v>
                </c:pt>
                <c:pt idx="23">
                  <c:v>-5024685.2359782923</c:v>
                </c:pt>
                <c:pt idx="24">
                  <c:v>-2638999.3623222164</c:v>
                </c:pt>
                <c:pt idx="25">
                  <c:v>-34179.120994556695</c:v>
                </c:pt>
                <c:pt idx="26">
                  <c:v>2809842.4382907101</c:v>
                </c:pt>
                <c:pt idx="27">
                  <c:v>5914969.3693915121</c:v>
                </c:pt>
                <c:pt idx="28">
                  <c:v>9305111.0524955653</c:v>
                </c:pt>
                <c:pt idx="29">
                  <c:v>13006365.824963234</c:v>
                </c:pt>
                <c:pt idx="30">
                  <c:v>17297642.989317495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AC-4589-AB25-886CDA610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4847855"/>
        <c:axId val="574823855"/>
      </c:lineChart>
      <c:catAx>
        <c:axId val="5748478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4823855"/>
        <c:crosses val="autoZero"/>
        <c:auto val="1"/>
        <c:lblAlgn val="ctr"/>
        <c:lblOffset val="100"/>
        <c:noMultiLvlLbl val="0"/>
      </c:catAx>
      <c:valAx>
        <c:axId val="57482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484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609600</xdr:colOff>
      <xdr:row>12</xdr:row>
      <xdr:rowOff>10160</xdr:rowOff>
    </xdr:from>
    <xdr:to>
      <xdr:col>26</xdr:col>
      <xdr:colOff>283029</xdr:colOff>
      <xdr:row>27</xdr:row>
      <xdr:rowOff>10160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538FBAC-8A1A-8513-AEED-9156C9B4AC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224356</xdr:colOff>
      <xdr:row>7</xdr:row>
      <xdr:rowOff>112316</xdr:rowOff>
    </xdr:from>
    <xdr:to>
      <xdr:col>25</xdr:col>
      <xdr:colOff>162143</xdr:colOff>
      <xdr:row>22</xdr:row>
      <xdr:rowOff>112316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72321F2-5EC7-D969-2CA2-E723B84063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109118</xdr:colOff>
      <xdr:row>22</xdr:row>
      <xdr:rowOff>166777</xdr:rowOff>
    </xdr:from>
    <xdr:to>
      <xdr:col>25</xdr:col>
      <xdr:colOff>181971</xdr:colOff>
      <xdr:row>37</xdr:row>
      <xdr:rowOff>106392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9A334643-A799-E1DE-38F0-CA81C51405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4F9D1-B87C-4987-8578-9173C7D53CC0}">
  <dimension ref="B2:N65"/>
  <sheetViews>
    <sheetView zoomScale="79" workbookViewId="0">
      <selection activeCell="K63" sqref="K63"/>
    </sheetView>
  </sheetViews>
  <sheetFormatPr baseColWidth="10" defaultRowHeight="14.4" x14ac:dyDescent="0.3"/>
  <cols>
    <col min="2" max="2" width="42" customWidth="1"/>
    <col min="3" max="3" width="25.88671875" customWidth="1"/>
    <col min="4" max="4" width="37" customWidth="1"/>
    <col min="5" max="5" width="27.77734375" customWidth="1"/>
    <col min="6" max="6" width="5.44140625" customWidth="1"/>
    <col min="7" max="7" width="33.33203125" customWidth="1"/>
    <col min="10" max="10" width="53.88671875" customWidth="1"/>
    <col min="11" max="11" width="35.6640625" customWidth="1"/>
    <col min="12" max="12" width="23.33203125" customWidth="1"/>
    <col min="13" max="13" width="30.33203125" customWidth="1"/>
  </cols>
  <sheetData>
    <row r="2" spans="3:14" x14ac:dyDescent="0.3">
      <c r="D2" s="82" t="s">
        <v>0</v>
      </c>
    </row>
    <row r="5" spans="3:14" x14ac:dyDescent="0.3">
      <c r="C5" s="11"/>
      <c r="D5" s="7" t="s">
        <v>31</v>
      </c>
      <c r="E5" s="8"/>
      <c r="F5" s="7"/>
      <c r="G5" s="10" t="s">
        <v>32</v>
      </c>
      <c r="H5" s="8"/>
      <c r="J5" s="55" t="s">
        <v>6</v>
      </c>
      <c r="K5" s="83">
        <f>H53</f>
        <v>0.02</v>
      </c>
      <c r="L5" s="1"/>
    </row>
    <row r="6" spans="3:14" x14ac:dyDescent="0.3">
      <c r="C6" s="18"/>
      <c r="D6" s="16"/>
      <c r="E6" s="17"/>
      <c r="F6" s="16"/>
      <c r="G6" s="79"/>
      <c r="H6" s="17"/>
      <c r="J6" s="63" t="s">
        <v>48</v>
      </c>
      <c r="K6" s="84">
        <f>H54</f>
        <v>6.6885964912280715E-2</v>
      </c>
      <c r="L6" s="85">
        <f>I54</f>
        <v>9.1666666666666674E-2</v>
      </c>
    </row>
    <row r="7" spans="3:14" x14ac:dyDescent="0.3">
      <c r="C7" s="10" t="s">
        <v>33</v>
      </c>
      <c r="D7" s="68" t="s">
        <v>43</v>
      </c>
      <c r="E7" s="8">
        <f>C50+C64</f>
        <v>26968880</v>
      </c>
      <c r="F7" s="7"/>
      <c r="G7" s="68" t="s">
        <v>45</v>
      </c>
      <c r="H7" s="8">
        <f>D50</f>
        <v>15945</v>
      </c>
      <c r="J7" s="67" t="s">
        <v>35</v>
      </c>
      <c r="K7" s="93">
        <v>2.5000000000000001E-2</v>
      </c>
      <c r="L7" s="1"/>
    </row>
    <row r="8" spans="3:14" x14ac:dyDescent="0.3">
      <c r="C8" s="80"/>
      <c r="D8" s="63"/>
      <c r="E8" s="81"/>
      <c r="F8" s="13"/>
      <c r="G8" s="69" t="s">
        <v>46</v>
      </c>
      <c r="H8" s="14">
        <f>E50</f>
        <v>65663</v>
      </c>
      <c r="K8" s="1"/>
      <c r="L8" s="1"/>
    </row>
    <row r="9" spans="3:14" x14ac:dyDescent="0.3">
      <c r="C9" s="10" t="s">
        <v>34</v>
      </c>
      <c r="D9" s="68" t="s">
        <v>44</v>
      </c>
      <c r="E9" s="8">
        <f>C64+C59</f>
        <v>26845730</v>
      </c>
      <c r="F9" s="7"/>
      <c r="G9" s="68" t="s">
        <v>47</v>
      </c>
      <c r="H9" s="8">
        <f>D59</f>
        <v>14365</v>
      </c>
      <c r="J9" s="55" t="s">
        <v>49</v>
      </c>
      <c r="K9" s="54">
        <f>L63</f>
        <v>387337.8448275862</v>
      </c>
      <c r="L9" s="1"/>
    </row>
    <row r="10" spans="3:14" x14ac:dyDescent="0.3">
      <c r="C10" s="77"/>
      <c r="D10" s="70"/>
      <c r="E10" s="78"/>
      <c r="F10" s="16"/>
      <c r="G10" s="70" t="s">
        <v>46</v>
      </c>
      <c r="H10" s="17">
        <f>E59</f>
        <v>66241</v>
      </c>
      <c r="J10" s="63" t="s">
        <v>36</v>
      </c>
      <c r="K10" s="76">
        <v>30</v>
      </c>
      <c r="L10" s="1"/>
      <c r="N10" s="6"/>
    </row>
    <row r="11" spans="3:14" x14ac:dyDescent="0.3">
      <c r="J11" s="63" t="s">
        <v>37</v>
      </c>
      <c r="K11" s="76">
        <v>20</v>
      </c>
      <c r="L11" s="1"/>
      <c r="N11" s="6"/>
    </row>
    <row r="12" spans="3:14" x14ac:dyDescent="0.3">
      <c r="J12" s="67" t="s">
        <v>38</v>
      </c>
      <c r="K12" s="37">
        <f>'Scénario 1 '!B9</f>
        <v>250421.55748737991</v>
      </c>
      <c r="L12" s="89">
        <f>'Scénario 2'!B7</f>
        <v>149523.75017649858</v>
      </c>
      <c r="N12" s="6"/>
    </row>
    <row r="13" spans="3:14" x14ac:dyDescent="0.3">
      <c r="N13" s="6"/>
    </row>
    <row r="14" spans="3:14" x14ac:dyDescent="0.3">
      <c r="N14" s="6"/>
    </row>
    <row r="15" spans="3:14" x14ac:dyDescent="0.3">
      <c r="N15" s="6"/>
    </row>
    <row r="16" spans="3:14" x14ac:dyDescent="0.3">
      <c r="N16" s="6"/>
    </row>
    <row r="17" spans="14:14" x14ac:dyDescent="0.3">
      <c r="N17" s="6"/>
    </row>
    <row r="18" spans="14:14" x14ac:dyDescent="0.3">
      <c r="N18" s="6"/>
    </row>
    <row r="19" spans="14:14" x14ac:dyDescent="0.3">
      <c r="N19" s="6"/>
    </row>
    <row r="20" spans="14:14" x14ac:dyDescent="0.3">
      <c r="N20" s="6"/>
    </row>
    <row r="21" spans="14:14" x14ac:dyDescent="0.3">
      <c r="N21" s="6"/>
    </row>
    <row r="22" spans="14:14" x14ac:dyDescent="0.3">
      <c r="N22" s="6"/>
    </row>
    <row r="23" spans="14:14" x14ac:dyDescent="0.3">
      <c r="N23" s="6"/>
    </row>
    <row r="25" spans="14:14" x14ac:dyDescent="0.3">
      <c r="N25" s="6"/>
    </row>
    <row r="26" spans="14:14" x14ac:dyDescent="0.3">
      <c r="N26" s="6"/>
    </row>
    <row r="27" spans="14:14" x14ac:dyDescent="0.3">
      <c r="N27" s="6"/>
    </row>
    <row r="28" spans="14:14" x14ac:dyDescent="0.3">
      <c r="N28" s="6"/>
    </row>
    <row r="29" spans="14:14" x14ac:dyDescent="0.3">
      <c r="N29" s="6"/>
    </row>
    <row r="30" spans="14:14" x14ac:dyDescent="0.3">
      <c r="N30" s="6"/>
    </row>
    <row r="39" spans="2:13" x14ac:dyDescent="0.3">
      <c r="D39" s="86"/>
      <c r="E39" s="1"/>
      <c r="L39" s="87"/>
    </row>
    <row r="40" spans="2:13" x14ac:dyDescent="0.3">
      <c r="D40" s="1"/>
      <c r="E40" s="1"/>
    </row>
    <row r="41" spans="2:13" x14ac:dyDescent="0.3">
      <c r="D41" s="1"/>
      <c r="E41" s="1"/>
    </row>
    <row r="42" spans="2:13" x14ac:dyDescent="0.3">
      <c r="B42" s="86"/>
    </row>
    <row r="45" spans="2:13" x14ac:dyDescent="0.3">
      <c r="B45" s="56"/>
      <c r="C45" s="57" t="s">
        <v>50</v>
      </c>
      <c r="D45" s="56" t="s">
        <v>52</v>
      </c>
      <c r="E45" s="58" t="s">
        <v>51</v>
      </c>
      <c r="F45" s="6"/>
      <c r="G45" s="55" t="s">
        <v>53</v>
      </c>
      <c r="H45" s="7" t="s">
        <v>10</v>
      </c>
      <c r="I45" s="8" t="s">
        <v>3</v>
      </c>
      <c r="K45" s="51" t="s">
        <v>11</v>
      </c>
      <c r="L45" s="60" t="s">
        <v>59</v>
      </c>
      <c r="M45" s="71" t="s">
        <v>60</v>
      </c>
    </row>
    <row r="46" spans="2:13" x14ac:dyDescent="0.3">
      <c r="B46" s="9" t="s">
        <v>1</v>
      </c>
      <c r="C46" s="10">
        <v>120830</v>
      </c>
      <c r="D46" s="15">
        <v>5515</v>
      </c>
      <c r="E46" s="8">
        <v>4679</v>
      </c>
      <c r="F46" s="6"/>
      <c r="G46" s="63" t="s">
        <v>54</v>
      </c>
      <c r="H46" s="7">
        <v>100</v>
      </c>
      <c r="I46" s="8">
        <v>100</v>
      </c>
      <c r="K46" s="68">
        <v>2023</v>
      </c>
      <c r="L46" s="10">
        <v>167</v>
      </c>
      <c r="M46" s="8">
        <v>38</v>
      </c>
    </row>
    <row r="47" spans="2:13" x14ac:dyDescent="0.3">
      <c r="B47" s="9" t="s">
        <v>2</v>
      </c>
      <c r="C47" s="12">
        <v>184820</v>
      </c>
      <c r="D47" s="3">
        <v>3965</v>
      </c>
      <c r="E47" s="14">
        <v>1040</v>
      </c>
      <c r="F47" s="6"/>
      <c r="G47" s="63" t="s">
        <v>9</v>
      </c>
      <c r="H47" s="13">
        <v>8</v>
      </c>
      <c r="I47" s="14">
        <v>20</v>
      </c>
      <c r="K47" s="69" t="s">
        <v>19</v>
      </c>
      <c r="L47" s="12">
        <v>228</v>
      </c>
      <c r="M47" s="14">
        <v>60</v>
      </c>
    </row>
    <row r="48" spans="2:13" x14ac:dyDescent="0.3">
      <c r="B48" s="9" t="s">
        <v>3</v>
      </c>
      <c r="C48" s="12">
        <v>0</v>
      </c>
      <c r="D48" s="15">
        <f>I50</f>
        <v>2500</v>
      </c>
      <c r="E48" s="14">
        <v>59013</v>
      </c>
      <c r="F48" s="6"/>
      <c r="G48" s="63" t="s">
        <v>55</v>
      </c>
      <c r="H48" s="13">
        <v>300</v>
      </c>
      <c r="I48" s="14">
        <v>500</v>
      </c>
      <c r="K48" s="70" t="s">
        <v>20</v>
      </c>
      <c r="L48" s="25">
        <f>(1-(L46/L47))/4</f>
        <v>6.6885964912280715E-2</v>
      </c>
      <c r="M48" s="26">
        <f>(1-(M46/M47))/4</f>
        <v>9.1666666666666674E-2</v>
      </c>
    </row>
    <row r="49" spans="2:13" x14ac:dyDescent="0.3">
      <c r="B49" s="9" t="s">
        <v>4</v>
      </c>
      <c r="C49" s="12">
        <v>0</v>
      </c>
      <c r="D49" s="18">
        <v>3965</v>
      </c>
      <c r="E49" s="14">
        <v>931</v>
      </c>
      <c r="F49" s="6"/>
      <c r="G49" s="63" t="s">
        <v>12</v>
      </c>
      <c r="H49" s="16">
        <v>2</v>
      </c>
      <c r="I49" s="17">
        <v>1</v>
      </c>
      <c r="K49" s="6"/>
      <c r="L49" s="6"/>
      <c r="M49" s="6"/>
    </row>
    <row r="50" spans="2:13" x14ac:dyDescent="0.3">
      <c r="B50" s="62" t="s">
        <v>27</v>
      </c>
      <c r="C50" s="48">
        <f>SUM(C45:C49)</f>
        <v>305650</v>
      </c>
      <c r="D50" s="29">
        <f>SUM(D45:D49)</f>
        <v>15945</v>
      </c>
      <c r="E50" s="20">
        <f>SUM(E45:E49)</f>
        <v>65663</v>
      </c>
      <c r="F50" s="6"/>
      <c r="G50" s="56" t="s">
        <v>56</v>
      </c>
      <c r="H50" s="16">
        <f>(H46*H47+H48)*H49</f>
        <v>2200</v>
      </c>
      <c r="I50" s="17">
        <f>I46*I47+I48</f>
        <v>2500</v>
      </c>
      <c r="K50" s="6"/>
      <c r="L50" s="6"/>
      <c r="M50" s="6"/>
    </row>
    <row r="51" spans="2:13" x14ac:dyDescent="0.3">
      <c r="B51" s="59" t="s">
        <v>5</v>
      </c>
      <c r="C51" s="29">
        <f>C64+C50</f>
        <v>26968880</v>
      </c>
      <c r="D51" s="13"/>
      <c r="E51" s="13"/>
      <c r="F51" s="6"/>
      <c r="G51" s="6"/>
      <c r="H51" s="6"/>
      <c r="I51" s="6"/>
      <c r="K51" s="6"/>
      <c r="L51" s="6"/>
      <c r="M51" s="6"/>
    </row>
    <row r="52" spans="2:13" x14ac:dyDescent="0.3">
      <c r="B52" s="21"/>
      <c r="C52" s="13"/>
      <c r="D52" s="13"/>
      <c r="E52" s="13"/>
      <c r="F52" s="6"/>
      <c r="G52" s="6"/>
      <c r="H52" s="6"/>
      <c r="I52" s="6"/>
      <c r="K52" s="55" t="s">
        <v>15</v>
      </c>
      <c r="L52" s="8">
        <v>250</v>
      </c>
      <c r="M52" s="6"/>
    </row>
    <row r="53" spans="2:13" x14ac:dyDescent="0.3">
      <c r="B53" s="21"/>
      <c r="C53" s="6"/>
      <c r="D53" s="6"/>
      <c r="E53" s="6"/>
      <c r="F53" s="6"/>
      <c r="G53" s="64" t="s">
        <v>6</v>
      </c>
      <c r="H53" s="22">
        <v>0.02</v>
      </c>
      <c r="I53" s="6"/>
      <c r="K53" s="67" t="s">
        <v>61</v>
      </c>
      <c r="L53" s="17">
        <v>857</v>
      </c>
      <c r="M53" s="6" t="s">
        <v>18</v>
      </c>
    </row>
    <row r="54" spans="2:13" x14ac:dyDescent="0.3">
      <c r="B54" s="59"/>
      <c r="C54" s="56" t="s">
        <v>50</v>
      </c>
      <c r="D54" s="56" t="s">
        <v>52</v>
      </c>
      <c r="E54" s="61" t="s">
        <v>51</v>
      </c>
      <c r="F54" s="6"/>
      <c r="G54" s="65" t="s">
        <v>7</v>
      </c>
      <c r="H54" s="23">
        <f>L48</f>
        <v>6.6885964912280715E-2</v>
      </c>
      <c r="I54" s="24">
        <f>M48</f>
        <v>9.1666666666666674E-2</v>
      </c>
      <c r="K54" s="6"/>
      <c r="L54" s="6"/>
      <c r="M54" s="6"/>
    </row>
    <row r="55" spans="2:13" x14ac:dyDescent="0.3">
      <c r="B55" s="27" t="s">
        <v>57</v>
      </c>
      <c r="C55" s="11">
        <v>81500</v>
      </c>
      <c r="D55" s="11">
        <v>3965</v>
      </c>
      <c r="E55" s="8">
        <v>6246</v>
      </c>
      <c r="F55" s="6"/>
      <c r="G55" s="66" t="s">
        <v>8</v>
      </c>
      <c r="H55" s="18">
        <v>1.2</v>
      </c>
      <c r="K55" s="56" t="s">
        <v>17</v>
      </c>
      <c r="L55" s="6"/>
      <c r="M55" s="6"/>
    </row>
    <row r="56" spans="2:13" x14ac:dyDescent="0.3">
      <c r="B56" s="28" t="s">
        <v>58</v>
      </c>
      <c r="C56" s="15">
        <v>101000</v>
      </c>
      <c r="D56" s="15">
        <v>3935</v>
      </c>
      <c r="E56" s="14">
        <v>738</v>
      </c>
      <c r="F56" s="6"/>
      <c r="G56" s="6"/>
      <c r="H56" s="6"/>
      <c r="I56" s="6"/>
      <c r="K56" s="55" t="s">
        <v>16</v>
      </c>
      <c r="L56" s="8">
        <v>3000</v>
      </c>
      <c r="M56" s="6"/>
    </row>
    <row r="57" spans="2:13" x14ac:dyDescent="0.3">
      <c r="B57" s="28" t="s">
        <v>3</v>
      </c>
      <c r="C57" s="15">
        <v>0</v>
      </c>
      <c r="D57" s="15">
        <f>I50</f>
        <v>2500</v>
      </c>
      <c r="E57" s="14">
        <v>59013</v>
      </c>
      <c r="F57" s="6"/>
      <c r="G57" s="6"/>
      <c r="H57" s="6"/>
      <c r="I57" s="6"/>
      <c r="K57" s="63" t="s">
        <v>62</v>
      </c>
      <c r="L57" s="14">
        <v>125</v>
      </c>
      <c r="M57" s="6"/>
    </row>
    <row r="58" spans="2:13" x14ac:dyDescent="0.3">
      <c r="B58" s="28" t="s">
        <v>4</v>
      </c>
      <c r="C58" s="18">
        <v>0</v>
      </c>
      <c r="D58" s="18">
        <v>3965</v>
      </c>
      <c r="E58" s="14">
        <v>244</v>
      </c>
      <c r="F58" s="6"/>
      <c r="I58" s="6"/>
      <c r="K58" s="63" t="s">
        <v>63</v>
      </c>
      <c r="L58" s="14">
        <f>L56*L57</f>
        <v>375000</v>
      </c>
      <c r="M58" s="6"/>
    </row>
    <row r="59" spans="2:13" x14ac:dyDescent="0.3">
      <c r="B59" s="59" t="s">
        <v>27</v>
      </c>
      <c r="C59" s="19">
        <f>SUM(C54:C58)</f>
        <v>182500</v>
      </c>
      <c r="D59" s="29">
        <f>SUM(D54:D58)</f>
        <v>14365</v>
      </c>
      <c r="E59" s="20">
        <f>SUM(E54:E58)</f>
        <v>66241</v>
      </c>
      <c r="F59" s="6"/>
      <c r="I59" s="6"/>
      <c r="K59" s="63" t="s">
        <v>14</v>
      </c>
      <c r="L59" s="14">
        <f>L52*L53/1000</f>
        <v>214.25</v>
      </c>
      <c r="M59" s="6"/>
    </row>
    <row r="60" spans="2:13" x14ac:dyDescent="0.3">
      <c r="B60" s="56" t="s">
        <v>5</v>
      </c>
      <c r="C60" s="29">
        <f>C64+C59</f>
        <v>26845730</v>
      </c>
      <c r="K60" s="63" t="s">
        <v>64</v>
      </c>
      <c r="L60" s="14">
        <v>167</v>
      </c>
      <c r="M60" s="6"/>
    </row>
    <row r="61" spans="2:13" x14ac:dyDescent="0.3">
      <c r="K61" s="63" t="s">
        <v>26</v>
      </c>
      <c r="L61" s="14">
        <v>2.9</v>
      </c>
      <c r="M61" s="6"/>
    </row>
    <row r="62" spans="2:13" x14ac:dyDescent="0.3">
      <c r="K62" s="63" t="s">
        <v>65</v>
      </c>
      <c r="L62" s="30">
        <f>L60*L59/L61</f>
        <v>12337.844827586207</v>
      </c>
      <c r="M62" s="6"/>
    </row>
    <row r="63" spans="2:13" x14ac:dyDescent="0.3">
      <c r="D63" s="96"/>
      <c r="E63" s="96"/>
      <c r="K63" s="67" t="s">
        <v>66</v>
      </c>
      <c r="L63" s="31">
        <f>L62+L58</f>
        <v>387337.8448275862</v>
      </c>
      <c r="M63" s="6"/>
    </row>
    <row r="64" spans="2:13" x14ac:dyDescent="0.3">
      <c r="B64" s="59" t="s">
        <v>30</v>
      </c>
      <c r="C64" s="20">
        <f>26943230-280000</f>
        <v>26663230</v>
      </c>
    </row>
    <row r="65" spans="4:12" x14ac:dyDescent="0.3">
      <c r="D65" s="1"/>
      <c r="E65" s="1"/>
      <c r="J65" s="87"/>
      <c r="K65" s="6"/>
      <c r="L65" s="6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8A597-18DD-4E83-957F-47D1A1B25EEF}">
  <dimension ref="B5:R56"/>
  <sheetViews>
    <sheetView topLeftCell="A14" zoomScale="77" zoomScaleNormal="61" workbookViewId="0">
      <selection activeCell="M5" sqref="M5"/>
    </sheetView>
  </sheetViews>
  <sheetFormatPr baseColWidth="10" defaultRowHeight="14.4" x14ac:dyDescent="0.3"/>
  <cols>
    <col min="2" max="2" width="31.5546875" customWidth="1"/>
    <col min="3" max="3" width="16.109375" customWidth="1"/>
    <col min="4" max="4" width="14.21875" customWidth="1"/>
    <col min="5" max="5" width="19.6640625" customWidth="1"/>
    <col min="6" max="6" width="19.88671875" customWidth="1"/>
    <col min="7" max="7" width="28.109375" customWidth="1"/>
    <col min="8" max="8" width="30.109375" customWidth="1"/>
    <col min="9" max="10" width="25.33203125" customWidth="1"/>
    <col min="11" max="11" width="20.77734375" customWidth="1"/>
    <col min="12" max="12" width="15.77734375" customWidth="1"/>
    <col min="13" max="13" width="27.6640625" customWidth="1"/>
    <col min="15" max="15" width="15.33203125" customWidth="1"/>
    <col min="16" max="16" width="16.44140625" customWidth="1"/>
    <col min="17" max="17" width="16.88671875" customWidth="1"/>
    <col min="20" max="20" width="18.88671875" customWidth="1"/>
  </cols>
  <sheetData>
    <row r="5" spans="2:18" ht="30.6" customHeight="1" x14ac:dyDescent="0.3">
      <c r="B5" s="51" t="s">
        <v>29</v>
      </c>
      <c r="D5" s="43" t="s">
        <v>13</v>
      </c>
      <c r="E5" s="32" t="s">
        <v>67</v>
      </c>
      <c r="F5" s="33" t="s">
        <v>23</v>
      </c>
      <c r="G5" s="33" t="s">
        <v>21</v>
      </c>
      <c r="H5" s="33" t="s">
        <v>22</v>
      </c>
      <c r="I5" s="34" t="s">
        <v>68</v>
      </c>
      <c r="J5" s="32" t="s">
        <v>23</v>
      </c>
      <c r="K5" s="33" t="s">
        <v>69</v>
      </c>
      <c r="L5" s="33" t="s">
        <v>70</v>
      </c>
      <c r="M5" s="34" t="s">
        <v>71</v>
      </c>
      <c r="O5" s="42" t="s">
        <v>24</v>
      </c>
      <c r="P5" s="42" t="s">
        <v>39</v>
      </c>
      <c r="R5" s="72" t="s">
        <v>25</v>
      </c>
    </row>
    <row r="6" spans="2:18" ht="13.8" customHeight="1" x14ac:dyDescent="0.3">
      <c r="B6" s="50">
        <v>2.5000000000000001E-2</v>
      </c>
      <c r="D6" s="44">
        <v>0</v>
      </c>
      <c r="E6" s="74">
        <f>Hypothèses!C51</f>
        <v>26968880</v>
      </c>
      <c r="F6" s="46"/>
      <c r="G6" s="73"/>
      <c r="H6" s="46"/>
      <c r="I6" s="47">
        <f>E6</f>
        <v>26968880</v>
      </c>
      <c r="J6" s="45"/>
      <c r="K6" s="46"/>
      <c r="L6" s="46"/>
      <c r="M6" s="47">
        <v>0</v>
      </c>
      <c r="O6" s="53">
        <f>M6-I6</f>
        <v>-26968880</v>
      </c>
      <c r="P6" s="53">
        <f>O6</f>
        <v>-26968880</v>
      </c>
      <c r="R6" s="88">
        <f>IRR(O6:O56)</f>
        <v>2.4138387002023753E-2</v>
      </c>
    </row>
    <row r="7" spans="2:18" x14ac:dyDescent="0.3">
      <c r="D7" s="3">
        <v>1</v>
      </c>
      <c r="E7" s="75"/>
      <c r="F7" s="1">
        <f>Hypothèses!D50</f>
        <v>15945</v>
      </c>
      <c r="G7" s="1">
        <f>Hypothèses!E46+Hypothèses!E47+Hypothèses!E49</f>
        <v>6650</v>
      </c>
      <c r="H7" s="1">
        <f>Hypothèses!E48</f>
        <v>59013</v>
      </c>
      <c r="I7" s="5">
        <f>G7+H7+F7</f>
        <v>81608</v>
      </c>
      <c r="J7" s="40">
        <f>Hypothèses!D48+Hypothèses!D49</f>
        <v>6465</v>
      </c>
      <c r="K7" s="35">
        <f>Hypothèses!L62</f>
        <v>12337.844827586207</v>
      </c>
      <c r="L7" s="35">
        <f>Hypothèses!L58</f>
        <v>375000</v>
      </c>
      <c r="M7" s="5">
        <f>K7+L7+J7</f>
        <v>393802.8448275862</v>
      </c>
      <c r="O7" s="38">
        <f>M7-I7</f>
        <v>312194.8448275862</v>
      </c>
      <c r="P7" s="38">
        <f>O7+P6</f>
        <v>-26656685.155172415</v>
      </c>
    </row>
    <row r="8" spans="2:18" x14ac:dyDescent="0.3">
      <c r="B8" s="51" t="s">
        <v>40</v>
      </c>
      <c r="D8" s="3">
        <v>2</v>
      </c>
      <c r="E8" s="40"/>
      <c r="F8" s="35">
        <f>F7+(F7*Hypothèses!H$53)</f>
        <v>16263.9</v>
      </c>
      <c r="G8" s="35">
        <f>G7+G7*Hypothèses!H$54</f>
        <v>7094.791666666667</v>
      </c>
      <c r="H8" s="35">
        <f>H7+H7*Hypothèses!I$54</f>
        <v>64422.525000000001</v>
      </c>
      <c r="I8" s="5">
        <f t="shared" ref="I8:I36" si="0">G8+H8+F8</f>
        <v>87781.21666666666</v>
      </c>
      <c r="J8" s="40">
        <f>J7+(J7*Hypothèses!H$53)</f>
        <v>6594.3</v>
      </c>
      <c r="K8" s="35">
        <f>K7+K7*Hypothèses!H$54</f>
        <v>13163.073483817301</v>
      </c>
      <c r="L8" s="35">
        <f>L7+L7*Hypothèses!I$54</f>
        <v>409375</v>
      </c>
      <c r="M8" s="5">
        <f t="shared" ref="M8:M36" si="1">K8+L8+J8</f>
        <v>429132.37348381727</v>
      </c>
      <c r="O8" s="38">
        <f t="shared" ref="O8:O35" si="2">M8-I8</f>
        <v>341351.15681715059</v>
      </c>
      <c r="P8" s="38">
        <f>O8+P7</f>
        <v>-26315333.998355266</v>
      </c>
    </row>
    <row r="9" spans="2:18" x14ac:dyDescent="0.3">
      <c r="B9" s="89">
        <f>E26/2</f>
        <v>250421.55748737991</v>
      </c>
      <c r="D9" s="3">
        <v>3</v>
      </c>
      <c r="E9" s="40"/>
      <c r="F9" s="35">
        <f>F8+(F8*Hypothèses!H$53)</f>
        <v>16589.178</v>
      </c>
      <c r="G9" s="35">
        <f>G8+G8*Hypothèses!H$54</f>
        <v>7569.3336531432751</v>
      </c>
      <c r="H9" s="35">
        <f>H8+H8*Hypothèses!I$54</f>
        <v>70327.923125000001</v>
      </c>
      <c r="I9" s="5">
        <f t="shared" si="0"/>
        <v>94486.434778143273</v>
      </c>
      <c r="J9" s="40">
        <f>J8+(J8*Hypothèses!H$53)</f>
        <v>6726.1860000000006</v>
      </c>
      <c r="K9" s="35">
        <f>K8+K8*Hypothèses!H$54</f>
        <v>14043.498354993677</v>
      </c>
      <c r="L9" s="35">
        <f>L8+L8*Hypothèses!I$54</f>
        <v>446901.04166666669</v>
      </c>
      <c r="M9" s="5">
        <f t="shared" si="1"/>
        <v>467670.72602166038</v>
      </c>
      <c r="O9" s="38">
        <f t="shared" si="2"/>
        <v>373184.29124351707</v>
      </c>
      <c r="P9" s="38">
        <f t="shared" ref="P9:P36" si="3">O9+P8</f>
        <v>-25942149.70711175</v>
      </c>
    </row>
    <row r="10" spans="2:18" x14ac:dyDescent="0.3">
      <c r="D10" s="3">
        <v>4</v>
      </c>
      <c r="E10" s="40"/>
      <c r="F10" s="35">
        <f>F9+(F9*Hypothèses!H$53)</f>
        <v>16920.96156</v>
      </c>
      <c r="G10" s="35">
        <f>G9+G9*Hypothèses!H$54</f>
        <v>8075.6158382767617</v>
      </c>
      <c r="H10" s="35">
        <f>H9+H9*Hypothèses!I$54</f>
        <v>76774.649411458333</v>
      </c>
      <c r="I10" s="5">
        <f t="shared" si="0"/>
        <v>101771.22680973509</v>
      </c>
      <c r="J10" s="40">
        <f>J9+(J9*Hypothèses!H$53)</f>
        <v>6860.7097200000007</v>
      </c>
      <c r="K10" s="35">
        <f>K9+K9*Hypothèses!H$54</f>
        <v>14982.811293211456</v>
      </c>
      <c r="L10" s="35">
        <f>L9+L9*Hypothèses!I$54</f>
        <v>487866.97048611112</v>
      </c>
      <c r="M10" s="5">
        <f t="shared" si="1"/>
        <v>509710.49149932258</v>
      </c>
      <c r="O10" s="38">
        <f t="shared" si="2"/>
        <v>407939.26468958752</v>
      </c>
      <c r="P10" s="38">
        <f t="shared" si="3"/>
        <v>-25534210.442422163</v>
      </c>
    </row>
    <row r="11" spans="2:18" x14ac:dyDescent="0.3">
      <c r="D11" s="3">
        <v>5</v>
      </c>
      <c r="E11" s="40"/>
      <c r="F11" s="35">
        <f>F10+(F10*Hypothèses!H$53)</f>
        <v>17259.380791200001</v>
      </c>
      <c r="G11" s="35">
        <f>G10+G10*Hypothèses!H$54</f>
        <v>8615.7611958807993</v>
      </c>
      <c r="H11" s="35">
        <f>H10+H10*Hypothèses!I$54</f>
        <v>83812.325607508683</v>
      </c>
      <c r="I11" s="5">
        <f t="shared" si="0"/>
        <v>109687.46759458949</v>
      </c>
      <c r="J11" s="40">
        <f>J10+(J10*Hypothèses!H$53)</f>
        <v>6997.9239144000012</v>
      </c>
      <c r="K11" s="35">
        <f>K10+K10*Hypothèses!H$54</f>
        <v>15984.95108365652</v>
      </c>
      <c r="L11" s="35">
        <f>L10+L10*Hypothèses!I$54</f>
        <v>532588.10944733792</v>
      </c>
      <c r="M11" s="5">
        <f t="shared" si="1"/>
        <v>555570.98444539448</v>
      </c>
      <c r="O11" s="38">
        <f t="shared" si="2"/>
        <v>445883.51685080503</v>
      </c>
      <c r="P11" s="38">
        <f t="shared" si="3"/>
        <v>-25088326.925571356</v>
      </c>
    </row>
    <row r="12" spans="2:18" x14ac:dyDescent="0.3">
      <c r="D12" s="3">
        <v>6</v>
      </c>
      <c r="E12" s="40"/>
      <c r="F12" s="35">
        <f>F11+(F11*Hypothèses!H$53)</f>
        <v>17604.568407024002</v>
      </c>
      <c r="G12" s="35">
        <f>G11+G11*Hypothèses!H$54</f>
        <v>9192.0346969210714</v>
      </c>
      <c r="H12" s="35">
        <f>H11+H11*Hypothèses!I$54</f>
        <v>91495.122121530309</v>
      </c>
      <c r="I12" s="5">
        <f t="shared" si="0"/>
        <v>118291.72522547538</v>
      </c>
      <c r="J12" s="40">
        <f>J11+(J11*Hypothèses!H$53)</f>
        <v>7137.8823926880013</v>
      </c>
      <c r="K12" s="35">
        <f>K11+K11*Hypothèses!H$54</f>
        <v>17054.119960962493</v>
      </c>
      <c r="L12" s="35">
        <f>L11+L11*Hypothèses!I$54</f>
        <v>581408.68614667724</v>
      </c>
      <c r="M12" s="5">
        <f t="shared" si="1"/>
        <v>605600.68850032764</v>
      </c>
      <c r="O12" s="38">
        <f t="shared" si="2"/>
        <v>487308.96327485226</v>
      </c>
      <c r="P12" s="38">
        <f t="shared" si="3"/>
        <v>-24601017.962296505</v>
      </c>
    </row>
    <row r="13" spans="2:18" x14ac:dyDescent="0.3">
      <c r="D13" s="3">
        <v>7</v>
      </c>
      <c r="E13" s="40"/>
      <c r="F13" s="35">
        <f>F12+(F12*Hypothèses!H$53)</f>
        <v>17956.659775164484</v>
      </c>
      <c r="G13" s="35">
        <f>G12+G12*Hypothèses!H$54</f>
        <v>9806.8528071318015</v>
      </c>
      <c r="H13" s="35">
        <f>H12+H12*Hypothèses!I$54</f>
        <v>99882.174982670593</v>
      </c>
      <c r="I13" s="5">
        <f t="shared" si="0"/>
        <v>127645.68756496688</v>
      </c>
      <c r="J13" s="40">
        <f>J12+(J12*Hypothèses!H$53)</f>
        <v>7280.6400405417617</v>
      </c>
      <c r="K13" s="35">
        <f>K12+K12*Hypothèses!H$54</f>
        <v>18194.801230281257</v>
      </c>
      <c r="L13" s="35">
        <f>L12+L12*Hypothèses!I$54</f>
        <v>634704.48237678932</v>
      </c>
      <c r="M13" s="5">
        <f t="shared" si="1"/>
        <v>660179.92364761233</v>
      </c>
      <c r="O13" s="38">
        <f t="shared" si="2"/>
        <v>532534.23608264548</v>
      </c>
      <c r="P13" s="38">
        <f t="shared" si="3"/>
        <v>-24068483.726213858</v>
      </c>
    </row>
    <row r="14" spans="2:18" x14ac:dyDescent="0.3">
      <c r="D14" s="3">
        <v>8</v>
      </c>
      <c r="E14" s="40"/>
      <c r="F14" s="35">
        <f>F13+(F13*Hypothèses!H$53)</f>
        <v>18315.792970667775</v>
      </c>
      <c r="G14" s="35">
        <f>G13+G13*Hypothèses!H$54</f>
        <v>10462.79361988952</v>
      </c>
      <c r="H14" s="35">
        <f>H13+H13*Hypothèses!I$54</f>
        <v>109038.04102274873</v>
      </c>
      <c r="I14" s="5">
        <f t="shared" si="0"/>
        <v>137816.62761330602</v>
      </c>
      <c r="J14" s="40">
        <f>J13+(J13*Hypothèses!H$53)</f>
        <v>7426.252841352597</v>
      </c>
      <c r="K14" s="35">
        <f>K13+K13*Hypothèses!H$54</f>
        <v>19411.778066955772</v>
      </c>
      <c r="L14" s="35">
        <f>L13+L13*Hypothèses!I$54</f>
        <v>692885.72659466171</v>
      </c>
      <c r="M14" s="5">
        <f t="shared" si="1"/>
        <v>719723.75750297005</v>
      </c>
      <c r="O14" s="38">
        <f t="shared" si="2"/>
        <v>581907.12988966401</v>
      </c>
      <c r="P14" s="38">
        <f t="shared" si="3"/>
        <v>-23486576.596324194</v>
      </c>
    </row>
    <row r="15" spans="2:18" x14ac:dyDescent="0.3">
      <c r="D15" s="3">
        <v>9</v>
      </c>
      <c r="E15" s="40"/>
      <c r="F15" s="35">
        <f>F14+(F14*Hypothèses!H$53)</f>
        <v>18682.108830081132</v>
      </c>
      <c r="G15" s="35">
        <f>G14+G14*Hypothèses!H$54</f>
        <v>11162.607666833885</v>
      </c>
      <c r="H15" s="35">
        <f>H14+H14*Hypothèses!I$54</f>
        <v>119033.19478316736</v>
      </c>
      <c r="I15" s="5">
        <f t="shared" si="0"/>
        <v>148877.91128008236</v>
      </c>
      <c r="J15" s="40">
        <f>J14+(J14*Hypothèses!H$53)</f>
        <v>7574.7778981796491</v>
      </c>
      <c r="K15" s="35">
        <f>K14+K14*Hypothèses!H$54</f>
        <v>20710.153573627158</v>
      </c>
      <c r="L15" s="35">
        <f>L14+L14*Hypothèses!I$54</f>
        <v>756400.25153250573</v>
      </c>
      <c r="M15" s="5">
        <f t="shared" si="1"/>
        <v>784685.18300431245</v>
      </c>
      <c r="O15" s="38">
        <f t="shared" si="2"/>
        <v>635807.27172423014</v>
      </c>
      <c r="P15" s="38">
        <f t="shared" si="3"/>
        <v>-22850769.324599963</v>
      </c>
    </row>
    <row r="16" spans="2:18" x14ac:dyDescent="0.3">
      <c r="D16" s="3">
        <v>10</v>
      </c>
      <c r="E16" s="40"/>
      <c r="F16" s="35">
        <f>F15+(F15*Hypothèses!H$53)</f>
        <v>19055.751006682753</v>
      </c>
      <c r="G16" s="35">
        <f>G15+G15*Hypothèses!H$54</f>
        <v>11909.229451567291</v>
      </c>
      <c r="H16" s="35">
        <f>H15+H15*Hypothèses!I$54</f>
        <v>129944.57097162437</v>
      </c>
      <c r="I16" s="5">
        <f t="shared" si="0"/>
        <v>160909.55142987441</v>
      </c>
      <c r="J16" s="40">
        <f>J15+(J15*Hypothèses!H$53)</f>
        <v>7726.2734561432417</v>
      </c>
      <c r="K16" s="35">
        <f>K15+K15*Hypothèses!H$54</f>
        <v>22095.372178880731</v>
      </c>
      <c r="L16" s="35">
        <f>L15+L15*Hypothèses!I$54</f>
        <v>825736.94125631871</v>
      </c>
      <c r="M16" s="5">
        <f t="shared" si="1"/>
        <v>855558.58689134265</v>
      </c>
      <c r="O16" s="38">
        <f t="shared" si="2"/>
        <v>694649.03546146827</v>
      </c>
      <c r="P16" s="38">
        <f t="shared" si="3"/>
        <v>-22156120.289138496</v>
      </c>
    </row>
    <row r="17" spans="3:16" x14ac:dyDescent="0.3">
      <c r="D17" s="3">
        <v>11</v>
      </c>
      <c r="E17" s="40"/>
      <c r="F17" s="35">
        <f>F16+(F16*Hypothèses!H$53)</f>
        <v>19436.866026816409</v>
      </c>
      <c r="G17" s="35">
        <f>G16+G16*Hypothèses!H$54</f>
        <v>12705.789754797121</v>
      </c>
      <c r="H17" s="35">
        <f>H16+H16*Hypothèses!I$54</f>
        <v>141856.15664402329</v>
      </c>
      <c r="I17" s="5">
        <f t="shared" si="0"/>
        <v>173998.8124256368</v>
      </c>
      <c r="J17" s="40">
        <f>J16+(J16*Hypothèses!H$53)</f>
        <v>7880.7989252661064</v>
      </c>
      <c r="K17" s="35">
        <f>K16+K16*Hypothèses!H$54</f>
        <v>23573.24246716113</v>
      </c>
      <c r="L17" s="35">
        <f>L16+L16*Hypothèses!I$54</f>
        <v>901429.49420481455</v>
      </c>
      <c r="M17" s="5">
        <f t="shared" si="1"/>
        <v>932883.53559724183</v>
      </c>
      <c r="O17" s="38">
        <f t="shared" si="2"/>
        <v>758884.72317160503</v>
      </c>
      <c r="P17" s="38">
        <f t="shared" si="3"/>
        <v>-21397235.565966889</v>
      </c>
    </row>
    <row r="18" spans="3:16" x14ac:dyDescent="0.3">
      <c r="D18" s="3">
        <v>12</v>
      </c>
      <c r="E18" s="40"/>
      <c r="F18" s="35">
        <f>F17+(F17*Hypothèses!H$53)</f>
        <v>19825.603347352739</v>
      </c>
      <c r="G18" s="35">
        <f>G17+G17*Hypothèses!H$54</f>
        <v>13555.628762519296</v>
      </c>
      <c r="H18" s="35">
        <f>H17+H17*Hypothèses!I$54</f>
        <v>154859.63766972543</v>
      </c>
      <c r="I18" s="5">
        <f t="shared" si="0"/>
        <v>188240.86977959747</v>
      </c>
      <c r="J18" s="40">
        <f>J17+(J17*Hypothèses!H$53)</f>
        <v>8038.4149037714287</v>
      </c>
      <c r="K18" s="35">
        <f>K17+K17*Hypothèses!H$54</f>
        <v>25149.961535688355</v>
      </c>
      <c r="L18" s="35">
        <f>L17+L17*Hypothèses!I$54</f>
        <v>984060.53117358917</v>
      </c>
      <c r="M18" s="5">
        <f t="shared" si="1"/>
        <v>1017248.907613049</v>
      </c>
      <c r="O18" s="38">
        <f t="shared" si="2"/>
        <v>829008.03783345153</v>
      </c>
      <c r="P18" s="38">
        <f t="shared" si="3"/>
        <v>-20568227.528133437</v>
      </c>
    </row>
    <row r="19" spans="3:16" x14ac:dyDescent="0.3">
      <c r="D19" s="3">
        <v>13</v>
      </c>
      <c r="E19" s="40"/>
      <c r="F19" s="35">
        <f>F18+(F18*Hypothèses!H$53)</f>
        <v>20222.115414299795</v>
      </c>
      <c r="G19" s="35">
        <f>G18+G18*Hypothèses!H$54</f>
        <v>14462.310072293065</v>
      </c>
      <c r="H19" s="35">
        <f>H18+H18*Hypothèses!I$54</f>
        <v>169055.10445611694</v>
      </c>
      <c r="I19" s="5">
        <f t="shared" si="0"/>
        <v>203739.52994270981</v>
      </c>
      <c r="J19" s="40">
        <f>J18+(J18*Hypothèses!H$53)</f>
        <v>8199.1832018468576</v>
      </c>
      <c r="K19" s="35">
        <f>K18+K18*Hypothèses!H$54</f>
        <v>26832.140980509615</v>
      </c>
      <c r="L19" s="35">
        <f>L18+L18*Hypothèses!I$54</f>
        <v>1074266.0798645015</v>
      </c>
      <c r="M19" s="5">
        <f t="shared" si="1"/>
        <v>1109297.404046858</v>
      </c>
      <c r="O19" s="38">
        <f t="shared" si="2"/>
        <v>905557.87410414813</v>
      </c>
      <c r="P19" s="38">
        <f t="shared" si="3"/>
        <v>-19662669.654029287</v>
      </c>
    </row>
    <row r="20" spans="3:16" x14ac:dyDescent="0.3">
      <c r="D20" s="3">
        <v>14</v>
      </c>
      <c r="E20" s="40"/>
      <c r="F20" s="35">
        <f>F19+(F19*Hypothèses!H$53)</f>
        <v>20626.557722585792</v>
      </c>
      <c r="G20" s="35">
        <f>G19+G19*Hypothèses!H$54</f>
        <v>15429.635636338982</v>
      </c>
      <c r="H20" s="35">
        <f>H19+H19*Hypothèses!I$54</f>
        <v>184551.82236459432</v>
      </c>
      <c r="I20" s="5">
        <f t="shared" si="0"/>
        <v>220608.01572351911</v>
      </c>
      <c r="J20" s="40">
        <f>J19+(J19*Hypothèses!H$53)</f>
        <v>8363.1668658837953</v>
      </c>
      <c r="K20" s="35">
        <f>K19+K19*Hypothèses!H$54</f>
        <v>28626.83462065335</v>
      </c>
      <c r="L20" s="35">
        <f>L19+L19*Hypothèses!I$54</f>
        <v>1172740.4705187473</v>
      </c>
      <c r="M20" s="5">
        <f t="shared" si="1"/>
        <v>1209730.4720052846</v>
      </c>
      <c r="O20" s="38">
        <f t="shared" si="2"/>
        <v>989122.45628176548</v>
      </c>
      <c r="P20" s="38">
        <f t="shared" si="3"/>
        <v>-18673547.197747521</v>
      </c>
    </row>
    <row r="21" spans="3:16" x14ac:dyDescent="0.3">
      <c r="D21" s="3">
        <v>15</v>
      </c>
      <c r="E21" s="35"/>
      <c r="F21" s="35">
        <f>F20+(F20*Hypothèses!H$53)</f>
        <v>21039.08887703751</v>
      </c>
      <c r="G21" s="35">
        <f>G20+G20*Hypothèses!H$54</f>
        <v>16461.661704120426</v>
      </c>
      <c r="H21" s="35">
        <f>H20+H20*Hypothèses!I$54</f>
        <v>201469.07274801546</v>
      </c>
      <c r="I21" s="5">
        <f t="shared" si="0"/>
        <v>238969.82332917341</v>
      </c>
      <c r="J21" s="40">
        <f>J20+(J20*Hypothèses!H$53)</f>
        <v>8530.4302032014712</v>
      </c>
      <c r="K21" s="35">
        <f>K20+K20*Hypothèses!H$54</f>
        <v>30541.568076640033</v>
      </c>
      <c r="L21" s="35">
        <f>L20+L20*Hypothèses!I$54</f>
        <v>1280241.6803162992</v>
      </c>
      <c r="M21" s="5">
        <f t="shared" si="1"/>
        <v>1319313.6785961408</v>
      </c>
      <c r="O21" s="38">
        <f>M21-I21</f>
        <v>1080343.8552669673</v>
      </c>
      <c r="P21" s="38">
        <f t="shared" si="3"/>
        <v>-17593203.342480555</v>
      </c>
    </row>
    <row r="22" spans="3:16" x14ac:dyDescent="0.3">
      <c r="D22" s="3">
        <v>16</v>
      </c>
      <c r="E22" s="40"/>
      <c r="F22" s="35">
        <f>F21+(F21*Hypothèses!H$53)</f>
        <v>21459.870654578259</v>
      </c>
      <c r="G22" s="35">
        <f>G21+G21*Hypothèses!H$54</f>
        <v>17562.715831260059</v>
      </c>
      <c r="H22" s="35">
        <f>H21+H21*Hypothèses!I$54</f>
        <v>219937.07108325022</v>
      </c>
      <c r="I22" s="5">
        <f t="shared" si="0"/>
        <v>258959.65756908854</v>
      </c>
      <c r="J22" s="40">
        <f>J21+(J21*Hypothèses!H$53)</f>
        <v>8701.0388072655005</v>
      </c>
      <c r="K22" s="35">
        <f>K21+K21*Hypothèses!H$54</f>
        <v>32584.370327380209</v>
      </c>
      <c r="L22" s="35">
        <f>L21+L21*Hypothèses!I$54</f>
        <v>1397597.1676786267</v>
      </c>
      <c r="M22" s="5">
        <f t="shared" si="1"/>
        <v>1438882.5768132724</v>
      </c>
      <c r="O22" s="38">
        <f t="shared" si="2"/>
        <v>1179922.9192441839</v>
      </c>
      <c r="P22" s="38">
        <f t="shared" si="3"/>
        <v>-16413280.423236372</v>
      </c>
    </row>
    <row r="23" spans="3:16" x14ac:dyDescent="0.3">
      <c r="D23" s="3">
        <v>17</v>
      </c>
      <c r="E23" s="40"/>
      <c r="F23" s="35">
        <f>F22+(F22*Hypothèses!H$53)</f>
        <v>21889.068067669825</v>
      </c>
      <c r="G23" s="35">
        <f>G22+G22*Hypothèses!H$54</f>
        <v>18737.415026114075</v>
      </c>
      <c r="H23" s="35">
        <f>H22+H22*Hypothèses!I$54</f>
        <v>240097.96926588149</v>
      </c>
      <c r="I23" s="5">
        <f t="shared" si="0"/>
        <v>280724.45235966536</v>
      </c>
      <c r="J23" s="40">
        <f>J22+(J22*Hypothèses!H$53)</f>
        <v>8875.0595834108099</v>
      </c>
      <c r="K23" s="35">
        <f>K22+K22*Hypothèses!H$54</f>
        <v>34763.807377786121</v>
      </c>
      <c r="L23" s="35">
        <f>L22+L22*Hypothèses!I$54</f>
        <v>1525710.2413825009</v>
      </c>
      <c r="M23" s="5">
        <f t="shared" si="1"/>
        <v>1569349.1083436979</v>
      </c>
      <c r="O23" s="38">
        <f t="shared" si="2"/>
        <v>1288624.6559840324</v>
      </c>
      <c r="P23" s="38">
        <f t="shared" si="3"/>
        <v>-15124655.767252339</v>
      </c>
    </row>
    <row r="24" spans="3:16" x14ac:dyDescent="0.3">
      <c r="D24" s="3">
        <v>18</v>
      </c>
      <c r="E24" s="40"/>
      <c r="F24" s="35">
        <f>F23+(F23*Hypothèses!H$53)</f>
        <v>22326.849429023223</v>
      </c>
      <c r="G24" s="35">
        <f>G23+G23*Hypothèses!H$54</f>
        <v>19990.685110097584</v>
      </c>
      <c r="H24" s="35">
        <f>H23+H23*Hypothèses!I$54</f>
        <v>262106.94978192062</v>
      </c>
      <c r="I24" s="5">
        <f t="shared" si="0"/>
        <v>304424.48432104144</v>
      </c>
      <c r="J24" s="40">
        <f>J23+(J23*Hypothèses!H$53)</f>
        <v>9052.5607750790259</v>
      </c>
      <c r="K24" s="35">
        <f>K23+K23*Hypothèses!H$54</f>
        <v>37089.018178274011</v>
      </c>
      <c r="L24" s="35">
        <f>L23+L23*Hypothèses!I$54</f>
        <v>1665567.0135092302</v>
      </c>
      <c r="M24" s="5">
        <f t="shared" si="1"/>
        <v>1711708.5924625832</v>
      </c>
      <c r="O24" s="38">
        <f t="shared" si="2"/>
        <v>1407284.1081415417</v>
      </c>
      <c r="P24" s="38">
        <f t="shared" si="3"/>
        <v>-13717371.659110798</v>
      </c>
    </row>
    <row r="25" spans="3:16" x14ac:dyDescent="0.3">
      <c r="D25" s="3">
        <v>19</v>
      </c>
      <c r="E25" s="40"/>
      <c r="F25" s="35">
        <f>F24+(F24*Hypothèses!H$53)</f>
        <v>22773.386417603688</v>
      </c>
      <c r="G25" s="35">
        <f>G24+G24*Hypothèses!H$54</f>
        <v>21327.781372944024</v>
      </c>
      <c r="H25" s="35">
        <f>H24+H24*Hypothèses!I$54</f>
        <v>286133.42017859669</v>
      </c>
      <c r="I25" s="5">
        <f t="shared" si="0"/>
        <v>330234.5879691444</v>
      </c>
      <c r="J25" s="40">
        <f>J24+(J24*Hypothèses!H$53)</f>
        <v>9233.6119905806063</v>
      </c>
      <c r="K25" s="35">
        <f>K24+K24*Hypothèses!H$54</f>
        <v>39569.752946776985</v>
      </c>
      <c r="L25" s="35">
        <f>L24+L24*Hypothèses!I$54</f>
        <v>1818243.9897475764</v>
      </c>
      <c r="M25" s="5">
        <f t="shared" si="1"/>
        <v>1867047.354684934</v>
      </c>
      <c r="O25" s="38">
        <f t="shared" si="2"/>
        <v>1536812.7667157897</v>
      </c>
      <c r="P25" s="38">
        <f t="shared" si="3"/>
        <v>-12180558.892395008</v>
      </c>
    </row>
    <row r="26" spans="3:16" x14ac:dyDescent="0.3">
      <c r="D26" s="3">
        <v>20</v>
      </c>
      <c r="E26" s="40">
        <v>500843.11497475981</v>
      </c>
      <c r="F26" s="35">
        <f>F25+(F25*Hypothèses!H$53)</f>
        <v>23228.85414595576</v>
      </c>
      <c r="G26" s="35">
        <f>G25+G25*Hypothèses!H$54</f>
        <v>22754.310609511551</v>
      </c>
      <c r="H26" s="35">
        <f>H25+H25*Hypothèses!I$54</f>
        <v>312362.31702830136</v>
      </c>
      <c r="I26" s="5">
        <f t="shared" si="0"/>
        <v>358345.48178376869</v>
      </c>
      <c r="J26" s="40">
        <f>J25+(J25*Hypothèses!H$53)</f>
        <v>9418.2842303922189</v>
      </c>
      <c r="K26" s="35">
        <f>K25+K25*Hypothèses!H$54</f>
        <v>42216.414053962726</v>
      </c>
      <c r="L26" s="35">
        <f>L25+L25*Hypothèses!I$54</f>
        <v>1984916.3554744376</v>
      </c>
      <c r="M26" s="5">
        <f t="shared" si="1"/>
        <v>2036551.0537587926</v>
      </c>
      <c r="O26" s="38">
        <f>-E26+M26-I26</f>
        <v>1177362.4570002642</v>
      </c>
      <c r="P26" s="38">
        <f>O26+P25</f>
        <v>-11003196.435394743</v>
      </c>
    </row>
    <row r="27" spans="3:16" x14ac:dyDescent="0.3">
      <c r="D27" s="3">
        <v>21</v>
      </c>
      <c r="E27" s="40"/>
      <c r="F27" s="35">
        <f>F26+(F26*Hypothèses!H$53)</f>
        <v>23693.431228874877</v>
      </c>
      <c r="G27" s="35">
        <f>G26+G26*Hypothèses!H$54</f>
        <v>24276.254630542477</v>
      </c>
      <c r="H27" s="35">
        <f>H26+H26*Hypothèses!I$54</f>
        <v>340995.52942256234</v>
      </c>
      <c r="I27" s="5">
        <f t="shared" si="0"/>
        <v>388965.2152819797</v>
      </c>
      <c r="J27" s="40">
        <f>J26+(J26*Hypothèses!H$53)</f>
        <v>9606.6499150000636</v>
      </c>
      <c r="K27" s="35">
        <f>K26+K26*Hypothèses!H$54</f>
        <v>45040.099643098394</v>
      </c>
      <c r="L27" s="35">
        <f>L26+L26*Hypothèses!I$54</f>
        <v>2166867.0213929275</v>
      </c>
      <c r="M27" s="5">
        <f t="shared" si="1"/>
        <v>2221513.7709510257</v>
      </c>
      <c r="O27" s="38">
        <f t="shared" si="2"/>
        <v>1832548.555669046</v>
      </c>
      <c r="P27" s="38">
        <f t="shared" si="3"/>
        <v>-9170647.8797256984</v>
      </c>
    </row>
    <row r="28" spans="3:16" x14ac:dyDescent="0.3">
      <c r="D28" s="3">
        <v>22</v>
      </c>
      <c r="E28" s="40"/>
      <c r="F28" s="35">
        <f>F27+(F27*Hypothèses!H$53)</f>
        <v>24167.299853452376</v>
      </c>
      <c r="G28" s="35">
        <f>G27+G27*Hypothèses!H$54</f>
        <v>25899.995345962532</v>
      </c>
      <c r="H28" s="35">
        <f>H27+H27*Hypothèses!I$54</f>
        <v>372253.45295296388</v>
      </c>
      <c r="I28" s="5">
        <f t="shared" si="0"/>
        <v>422320.74815237877</v>
      </c>
      <c r="J28" s="40">
        <f>J27+(J27*Hypothèses!H$53)</f>
        <v>9798.782913300065</v>
      </c>
      <c r="K28" s="35">
        <f>K27+K27*Hypothèses!H$54</f>
        <v>48052.650167472297</v>
      </c>
      <c r="L28" s="35">
        <f>L27+L27*Hypothèses!I$54</f>
        <v>2365496.498353946</v>
      </c>
      <c r="M28" s="5">
        <f t="shared" si="1"/>
        <v>2423347.9314347184</v>
      </c>
      <c r="O28" s="38">
        <f t="shared" si="2"/>
        <v>2001027.1832823397</v>
      </c>
      <c r="P28" s="38">
        <f t="shared" si="3"/>
        <v>-7169620.6964433584</v>
      </c>
    </row>
    <row r="29" spans="3:16" x14ac:dyDescent="0.3">
      <c r="D29" s="3">
        <v>23</v>
      </c>
      <c r="E29" s="40"/>
      <c r="F29" s="35">
        <f>F28+(F28*Hypothèses!H$53)</f>
        <v>24650.645850521425</v>
      </c>
      <c r="G29" s="35">
        <f>G28+G28*Hypothèses!H$54</f>
        <v>27632.341525900814</v>
      </c>
      <c r="H29" s="35">
        <f>H28+H28*Hypothèses!I$54</f>
        <v>406376.68614031893</v>
      </c>
      <c r="I29" s="5">
        <f t="shared" si="0"/>
        <v>458659.67351674114</v>
      </c>
      <c r="J29" s="40">
        <f>J28+(J28*Hypothèses!H$53)</f>
        <v>9994.7585715660662</v>
      </c>
      <c r="K29" s="35">
        <f>K28+K28*Hypothèses!H$54</f>
        <v>51266.698040515948</v>
      </c>
      <c r="L29" s="35">
        <f>L28+L28*Hypothèses!I$54</f>
        <v>2582333.6773697245</v>
      </c>
      <c r="M29" s="5">
        <f t="shared" si="1"/>
        <v>2643595.1339818067</v>
      </c>
      <c r="O29" s="38">
        <f t="shared" si="2"/>
        <v>2184935.4604650657</v>
      </c>
      <c r="P29" s="38">
        <f t="shared" si="3"/>
        <v>-4984685.2359782923</v>
      </c>
    </row>
    <row r="30" spans="3:16" x14ac:dyDescent="0.3">
      <c r="D30" s="3">
        <v>24</v>
      </c>
      <c r="E30" s="40"/>
      <c r="F30" s="35">
        <f>F29+(F29*Hypothèses!H$53)</f>
        <v>25143.658767531855</v>
      </c>
      <c r="G30" s="35">
        <f>G29+G29*Hypothèses!H$54</f>
        <v>29480.557351646374</v>
      </c>
      <c r="H30" s="35">
        <f>H29+H29*Hypothèses!I$54</f>
        <v>443627.88236984814</v>
      </c>
      <c r="I30" s="5">
        <f t="shared" si="0"/>
        <v>498252.09848902636</v>
      </c>
      <c r="J30" s="40">
        <f>J29+(J29*Hypothèses!H$53)</f>
        <v>10194.653742997387</v>
      </c>
      <c r="K30" s="35">
        <f>K29+K29*Hypothèses!H$54</f>
        <v>54695.72060682239</v>
      </c>
      <c r="L30" s="35">
        <f>L29+L29*Hypothèses!I$54</f>
        <v>2819047.5977952825</v>
      </c>
      <c r="M30" s="5">
        <f t="shared" si="1"/>
        <v>2883937.9721451025</v>
      </c>
      <c r="O30" s="38">
        <f t="shared" si="2"/>
        <v>2385685.8736560759</v>
      </c>
      <c r="P30" s="38">
        <f t="shared" si="3"/>
        <v>-2598999.3623222164</v>
      </c>
    </row>
    <row r="31" spans="3:16" x14ac:dyDescent="0.3">
      <c r="D31" s="3">
        <v>25</v>
      </c>
      <c r="E31" s="40"/>
      <c r="F31" s="35">
        <f>F30+(F30*Hypothèses!H$53)</f>
        <v>25646.531942882491</v>
      </c>
      <c r="G31" s="35">
        <f>G30+G30*Hypothèses!H$54</f>
        <v>31452.392876263071</v>
      </c>
      <c r="H31" s="35">
        <f>H30+H30*Hypothèses!I$54</f>
        <v>484293.77158708422</v>
      </c>
      <c r="I31" s="5">
        <f t="shared" si="0"/>
        <v>541392.69640622975</v>
      </c>
      <c r="J31" s="40">
        <f>J30+(J30*Hypothèses!H$53)</f>
        <v>10398.546817857334</v>
      </c>
      <c r="K31" s="35">
        <f>K30+K30*Hypothèses!H$54</f>
        <v>58354.096656182221</v>
      </c>
      <c r="L31" s="35">
        <f>L30+L30*Hypothèses!I$54</f>
        <v>3077460.2942598499</v>
      </c>
      <c r="M31" s="5">
        <f t="shared" si="1"/>
        <v>3146212.9377338896</v>
      </c>
      <c r="O31" s="38">
        <f t="shared" si="2"/>
        <v>2604820.2413276597</v>
      </c>
      <c r="P31" s="38">
        <f t="shared" si="3"/>
        <v>5820.8790054433048</v>
      </c>
    </row>
    <row r="32" spans="3:16" x14ac:dyDescent="0.3">
      <c r="C32" s="52"/>
      <c r="D32" s="3">
        <v>26</v>
      </c>
      <c r="E32" s="40"/>
      <c r="F32" s="35">
        <f>F31+(F31*Hypothèses!H$53)</f>
        <v>26159.462581740143</v>
      </c>
      <c r="G32" s="35">
        <f>G31+G31*Hypothèses!H$54</f>
        <v>33556.11652259207</v>
      </c>
      <c r="H32" s="35">
        <f>H31+H31*Hypothèses!I$54</f>
        <v>528687.36731590028</v>
      </c>
      <c r="I32" s="5">
        <f>G32+H32+F32</f>
        <v>588402.94642023242</v>
      </c>
      <c r="J32" s="40">
        <f>J31+(J31*Hypothèses!H$53)</f>
        <v>10606.517754214481</v>
      </c>
      <c r="K32" s="35">
        <f>K31+K31*Hypothèses!H$54</f>
        <v>62257.166717615459</v>
      </c>
      <c r="L32" s="35">
        <f>L31+L31*Hypothèses!I$54</f>
        <v>3359560.8212336693</v>
      </c>
      <c r="M32" s="5">
        <f t="shared" si="1"/>
        <v>3432424.5057054991</v>
      </c>
      <c r="O32" s="38">
        <f>M32-I32</f>
        <v>2844021.5592852668</v>
      </c>
      <c r="P32" s="38">
        <f t="shared" si="3"/>
        <v>2849842.4382907101</v>
      </c>
    </row>
    <row r="33" spans="4:17" x14ac:dyDescent="0.3">
      <c r="D33" s="3">
        <v>27</v>
      </c>
      <c r="E33" s="75"/>
      <c r="F33" s="35">
        <f>F32+(F32*Hypothèses!H$53)</f>
        <v>26682.651833374945</v>
      </c>
      <c r="G33" s="35">
        <f>G32+G32*Hypothèses!H$54</f>
        <v>35800.549754914566</v>
      </c>
      <c r="H33" s="35">
        <f>H32+H32*Hypothèses!I$54</f>
        <v>577150.37598652451</v>
      </c>
      <c r="I33" s="5">
        <f t="shared" si="0"/>
        <v>639633.57757481409</v>
      </c>
      <c r="J33" s="40">
        <f>J32+(J32*Hypothèses!H$53)</f>
        <v>10818.648109298771</v>
      </c>
      <c r="K33" s="35">
        <f>K32+K32*Hypothèses!H$54</f>
        <v>66421.297386227903</v>
      </c>
      <c r="L33" s="35">
        <f>L32+L32*Hypothèses!I$54</f>
        <v>3667520.563180089</v>
      </c>
      <c r="M33" s="5">
        <f t="shared" si="1"/>
        <v>3744760.5086756158</v>
      </c>
      <c r="O33" s="38">
        <f t="shared" si="2"/>
        <v>3105126.9311008016</v>
      </c>
      <c r="P33" s="38">
        <f t="shared" si="3"/>
        <v>5954969.3693915121</v>
      </c>
    </row>
    <row r="34" spans="4:17" x14ac:dyDescent="0.3">
      <c r="D34" s="3">
        <v>28</v>
      </c>
      <c r="E34" s="75"/>
      <c r="F34" s="35">
        <f>F33+(F33*Hypothèses!H$53)</f>
        <v>27216.304870042444</v>
      </c>
      <c r="G34" s="35">
        <f>G33+G33*Hypothèses!H$54</f>
        <v>38195.104069662142</v>
      </c>
      <c r="H34" s="35">
        <f>H33+H33*Hypothèses!I$54</f>
        <v>630055.8271186226</v>
      </c>
      <c r="I34" s="5">
        <f t="shared" si="0"/>
        <v>695467.23605832725</v>
      </c>
      <c r="J34" s="40">
        <f>J33+(J33*Hypothèses!H$53)</f>
        <v>11035.021071484745</v>
      </c>
      <c r="K34" s="35">
        <f>K33+K33*Hypothèses!H$54</f>
        <v>70863.949952631301</v>
      </c>
      <c r="L34" s="35">
        <f>L33+L33*Hypothèses!I$54</f>
        <v>4003709.948138264</v>
      </c>
      <c r="M34" s="5">
        <f t="shared" si="1"/>
        <v>4085608.91916238</v>
      </c>
      <c r="O34" s="38">
        <f t="shared" si="2"/>
        <v>3390141.6831040527</v>
      </c>
      <c r="P34" s="40">
        <f t="shared" si="3"/>
        <v>9345111.0524955653</v>
      </c>
      <c r="Q34" s="75"/>
    </row>
    <row r="35" spans="4:17" x14ac:dyDescent="0.3">
      <c r="D35" s="3">
        <v>29</v>
      </c>
      <c r="E35" s="75"/>
      <c r="F35" s="35">
        <f>F34+(F34*Hypothèses!H$53)</f>
        <v>27760.630967443292</v>
      </c>
      <c r="G35" s="35">
        <f>G34+G34*Hypothèses!H$54</f>
        <v>40749.820460286472</v>
      </c>
      <c r="H35" s="35">
        <f>H34+H34*Hypothèses!I$54</f>
        <v>687810.94460449636</v>
      </c>
      <c r="I35" s="5">
        <f t="shared" si="0"/>
        <v>756321.39603222616</v>
      </c>
      <c r="J35" s="40">
        <f>J34+(J34*Hypothèses!H$53)</f>
        <v>11255.721492914441</v>
      </c>
      <c r="K35" s="35">
        <f>K34+K34*Hypothèses!H$54</f>
        <v>75603.753622708609</v>
      </c>
      <c r="L35" s="35">
        <f>L34+L34*Hypothèses!I$54</f>
        <v>4370716.6933842711</v>
      </c>
      <c r="M35" s="5">
        <f t="shared" si="1"/>
        <v>4457576.1684998944</v>
      </c>
      <c r="O35" s="38">
        <f t="shared" si="2"/>
        <v>3701254.7724676682</v>
      </c>
      <c r="P35" s="40">
        <f t="shared" si="3"/>
        <v>13046365.824963234</v>
      </c>
      <c r="Q35" s="75"/>
    </row>
    <row r="36" spans="4:17" x14ac:dyDescent="0.3">
      <c r="D36" s="4">
        <v>30</v>
      </c>
      <c r="E36" s="92"/>
      <c r="F36" s="36">
        <f>F35+(F35*Hypothèses!H$53)</f>
        <v>28315.843586792158</v>
      </c>
      <c r="G36" s="36">
        <f>G35+G35*Hypothèses!H$54</f>
        <v>43475.411521774935</v>
      </c>
      <c r="H36" s="36">
        <f>H35+H35*Hypothèses!I$54</f>
        <v>750860.28119324183</v>
      </c>
      <c r="I36" s="37">
        <f t="shared" si="0"/>
        <v>822651.5363018089</v>
      </c>
      <c r="J36" s="41">
        <f>J35+(J35*Hypothèses!H$53)</f>
        <v>11480.835922772731</v>
      </c>
      <c r="K36" s="36">
        <f>K35+K35*Hypothèses!H$54</f>
        <v>80660.583634753813</v>
      </c>
      <c r="L36" s="36">
        <f>L35+L35*Hypothèses!I$54</f>
        <v>4771365.723611163</v>
      </c>
      <c r="M36" s="37">
        <f t="shared" si="1"/>
        <v>4863507.1431686897</v>
      </c>
      <c r="O36" s="39">
        <f>M36-I36+B9</f>
        <v>4291277.164354261</v>
      </c>
      <c r="P36" s="41">
        <f t="shared" si="3"/>
        <v>17337642.989317495</v>
      </c>
      <c r="Q36" s="75"/>
    </row>
    <row r="37" spans="4:17" x14ac:dyDescent="0.3">
      <c r="D37" s="1"/>
      <c r="F37" s="35"/>
      <c r="G37" s="35"/>
      <c r="H37" s="35"/>
      <c r="I37" s="35"/>
      <c r="J37" s="35"/>
      <c r="K37" s="35"/>
      <c r="L37" s="35"/>
      <c r="M37" s="35"/>
      <c r="O37" s="35"/>
      <c r="P37" s="90"/>
      <c r="Q37" s="35"/>
    </row>
    <row r="38" spans="4:17" x14ac:dyDescent="0.3">
      <c r="D38" s="1"/>
      <c r="F38" s="35"/>
      <c r="G38" s="35"/>
      <c r="H38" s="35"/>
      <c r="I38" s="35"/>
      <c r="J38" s="35"/>
      <c r="K38" s="35"/>
      <c r="L38" s="35"/>
      <c r="M38" s="35"/>
      <c r="O38" s="35"/>
      <c r="P38" s="90"/>
      <c r="Q38" s="35"/>
    </row>
    <row r="39" spans="4:17" x14ac:dyDescent="0.3">
      <c r="D39" s="1"/>
      <c r="F39" s="35"/>
      <c r="G39" s="35"/>
      <c r="H39" s="35"/>
      <c r="I39" s="35"/>
      <c r="J39" s="35"/>
      <c r="K39" s="35"/>
      <c r="L39" s="35"/>
      <c r="M39" s="35"/>
      <c r="O39" s="35"/>
      <c r="P39" s="90"/>
      <c r="Q39" s="35"/>
    </row>
    <row r="40" spans="4:17" x14ac:dyDescent="0.3">
      <c r="D40" s="1"/>
      <c r="F40" s="35"/>
      <c r="G40" s="35"/>
      <c r="H40" s="35"/>
      <c r="I40" s="35"/>
      <c r="J40" s="35"/>
      <c r="K40" s="35"/>
      <c r="L40" s="35"/>
      <c r="M40" s="35"/>
      <c r="O40" s="35"/>
      <c r="P40" s="90"/>
      <c r="Q40" s="35"/>
    </row>
    <row r="41" spans="4:17" x14ac:dyDescent="0.3">
      <c r="D41" s="1"/>
      <c r="F41" s="35"/>
      <c r="G41" s="35"/>
      <c r="H41" s="35"/>
      <c r="I41" s="35"/>
      <c r="J41" s="35"/>
      <c r="K41" s="35"/>
      <c r="L41" s="35"/>
      <c r="M41" s="35"/>
      <c r="O41" s="35"/>
      <c r="P41" s="90"/>
      <c r="Q41" s="35"/>
    </row>
    <row r="42" spans="4:17" x14ac:dyDescent="0.3">
      <c r="D42" s="1"/>
      <c r="F42" s="35"/>
      <c r="G42" s="35"/>
      <c r="H42" s="35"/>
      <c r="I42" s="35"/>
      <c r="J42" s="35"/>
      <c r="K42" s="35"/>
      <c r="L42" s="35"/>
      <c r="M42" s="35"/>
      <c r="O42" s="35"/>
      <c r="P42" s="90"/>
      <c r="Q42" s="35"/>
    </row>
    <row r="43" spans="4:17" x14ac:dyDescent="0.3">
      <c r="D43" s="1"/>
      <c r="F43" s="35"/>
      <c r="G43" s="35"/>
      <c r="H43" s="35"/>
      <c r="I43" s="35"/>
      <c r="J43" s="35"/>
      <c r="K43" s="35"/>
      <c r="L43" s="35"/>
      <c r="M43" s="35"/>
      <c r="O43" s="35"/>
      <c r="P43" s="90"/>
      <c r="Q43" s="35"/>
    </row>
    <row r="44" spans="4:17" x14ac:dyDescent="0.3">
      <c r="D44" s="1"/>
      <c r="F44" s="35"/>
      <c r="G44" s="35"/>
      <c r="H44" s="35"/>
      <c r="I44" s="35"/>
      <c r="J44" s="35"/>
      <c r="K44" s="35"/>
      <c r="L44" s="35"/>
      <c r="M44" s="35"/>
      <c r="O44" s="35"/>
      <c r="P44" s="90"/>
      <c r="Q44" s="35"/>
    </row>
    <row r="45" spans="4:17" x14ac:dyDescent="0.3">
      <c r="D45" s="1"/>
      <c r="F45" s="35"/>
      <c r="G45" s="35"/>
      <c r="H45" s="35"/>
      <c r="I45" s="35"/>
      <c r="J45" s="35"/>
      <c r="K45" s="35"/>
      <c r="L45" s="35"/>
      <c r="M45" s="35"/>
      <c r="O45" s="35"/>
      <c r="P45" s="90"/>
      <c r="Q45" s="35"/>
    </row>
    <row r="46" spans="4:17" x14ac:dyDescent="0.3">
      <c r="D46" s="1"/>
      <c r="F46" s="35"/>
      <c r="G46" s="35"/>
      <c r="H46" s="35"/>
      <c r="I46" s="35"/>
      <c r="J46" s="35"/>
      <c r="K46" s="35"/>
      <c r="L46" s="35"/>
      <c r="M46" s="35"/>
      <c r="O46" s="35"/>
      <c r="P46" s="90"/>
      <c r="Q46" s="35"/>
    </row>
    <row r="47" spans="4:17" x14ac:dyDescent="0.3">
      <c r="D47" s="1"/>
      <c r="F47" s="35"/>
      <c r="G47" s="35"/>
      <c r="H47" s="35"/>
      <c r="I47" s="35"/>
      <c r="J47" s="35"/>
      <c r="K47" s="35"/>
      <c r="L47" s="35"/>
      <c r="M47" s="35"/>
      <c r="O47" s="35"/>
      <c r="P47" s="90"/>
      <c r="Q47" s="35"/>
    </row>
    <row r="48" spans="4:17" x14ac:dyDescent="0.3">
      <c r="D48" s="1"/>
      <c r="F48" s="35"/>
      <c r="G48" s="35"/>
      <c r="H48" s="35"/>
      <c r="I48" s="35"/>
      <c r="J48" s="35"/>
      <c r="K48" s="35"/>
      <c r="L48" s="35"/>
      <c r="M48" s="35"/>
      <c r="O48" s="35"/>
      <c r="P48" s="90"/>
      <c r="Q48" s="35"/>
    </row>
    <row r="49" spans="4:17" x14ac:dyDescent="0.3">
      <c r="D49" s="1"/>
      <c r="F49" s="35"/>
      <c r="G49" s="35"/>
      <c r="H49" s="35"/>
      <c r="I49" s="35"/>
      <c r="J49" s="35"/>
      <c r="K49" s="35"/>
      <c r="L49" s="35"/>
      <c r="M49" s="35"/>
      <c r="O49" s="35"/>
      <c r="P49" s="90"/>
      <c r="Q49" s="35"/>
    </row>
    <row r="50" spans="4:17" x14ac:dyDescent="0.3">
      <c r="D50" s="1"/>
      <c r="F50" s="35"/>
      <c r="G50" s="35"/>
      <c r="H50" s="35"/>
      <c r="I50" s="35"/>
      <c r="J50" s="35"/>
      <c r="K50" s="35"/>
      <c r="L50" s="35"/>
      <c r="M50" s="35"/>
      <c r="O50" s="35"/>
      <c r="P50" s="90"/>
      <c r="Q50" s="35"/>
    </row>
    <row r="51" spans="4:17" x14ac:dyDescent="0.3">
      <c r="D51" s="1"/>
      <c r="F51" s="35"/>
      <c r="G51" s="35"/>
      <c r="H51" s="35"/>
      <c r="I51" s="35"/>
      <c r="J51" s="35"/>
      <c r="K51" s="35"/>
      <c r="L51" s="35"/>
      <c r="M51" s="35"/>
      <c r="O51" s="35"/>
      <c r="P51" s="90"/>
      <c r="Q51" s="35"/>
    </row>
    <row r="52" spans="4:17" x14ac:dyDescent="0.3">
      <c r="D52" s="1"/>
      <c r="F52" s="35"/>
      <c r="G52" s="35"/>
      <c r="H52" s="35"/>
      <c r="I52" s="35"/>
      <c r="J52" s="35"/>
      <c r="K52" s="35"/>
      <c r="L52" s="35"/>
      <c r="M52" s="35"/>
      <c r="O52" s="35"/>
      <c r="P52" s="90"/>
      <c r="Q52" s="35"/>
    </row>
    <row r="53" spans="4:17" x14ac:dyDescent="0.3">
      <c r="D53" s="1"/>
      <c r="F53" s="35"/>
      <c r="G53" s="35"/>
      <c r="H53" s="35"/>
      <c r="I53" s="35"/>
      <c r="J53" s="35"/>
      <c r="K53" s="35"/>
      <c r="L53" s="35"/>
      <c r="M53" s="35"/>
      <c r="O53" s="35"/>
      <c r="P53" s="90"/>
      <c r="Q53" s="35"/>
    </row>
    <row r="54" spans="4:17" x14ac:dyDescent="0.3">
      <c r="D54" s="1"/>
      <c r="F54" s="35"/>
      <c r="G54" s="35"/>
      <c r="H54" s="35"/>
      <c r="I54" s="35"/>
      <c r="J54" s="35"/>
      <c r="K54" s="35"/>
      <c r="L54" s="35"/>
      <c r="M54" s="35"/>
      <c r="O54" s="35"/>
      <c r="P54" s="90"/>
      <c r="Q54" s="35"/>
    </row>
    <row r="55" spans="4:17" x14ac:dyDescent="0.3">
      <c r="D55" s="1"/>
      <c r="F55" s="35"/>
      <c r="G55" s="35"/>
      <c r="H55" s="35"/>
      <c r="I55" s="35"/>
      <c r="J55" s="35"/>
      <c r="K55" s="35"/>
      <c r="L55" s="35"/>
      <c r="M55" s="35"/>
      <c r="O55" s="35"/>
      <c r="P55" s="90"/>
      <c r="Q55" s="35"/>
    </row>
    <row r="56" spans="4:17" x14ac:dyDescent="0.3">
      <c r="D56" s="1"/>
      <c r="F56" s="35"/>
      <c r="G56" s="35"/>
      <c r="H56" s="35"/>
      <c r="I56" s="35"/>
      <c r="J56" s="35"/>
      <c r="K56" s="35"/>
      <c r="L56" s="35"/>
      <c r="M56" s="35"/>
      <c r="O56" s="35"/>
      <c r="P56" s="90"/>
      <c r="Q56" s="3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DC78A-C586-49EF-8BA3-368E10710C1C}">
  <dimension ref="B3:R35"/>
  <sheetViews>
    <sheetView tabSelected="1" topLeftCell="U1" zoomScale="97" zoomScaleNormal="77" workbookViewId="0">
      <selection activeCell="M3" sqref="M3"/>
    </sheetView>
  </sheetViews>
  <sheetFormatPr baseColWidth="10" defaultRowHeight="14.4" x14ac:dyDescent="0.3"/>
  <cols>
    <col min="2" max="2" width="29.21875" customWidth="1"/>
    <col min="5" max="5" width="29.33203125" customWidth="1"/>
    <col min="6" max="6" width="16.88671875" customWidth="1"/>
    <col min="7" max="7" width="23.6640625" customWidth="1"/>
    <col min="8" max="8" width="25.6640625" customWidth="1"/>
    <col min="9" max="9" width="16.21875" customWidth="1"/>
    <col min="10" max="10" width="18.109375" customWidth="1"/>
    <col min="11" max="11" width="15.88671875" customWidth="1"/>
    <col min="12" max="12" width="16.6640625" customWidth="1"/>
    <col min="13" max="13" width="21.77734375" customWidth="1"/>
    <col min="15" max="15" width="11.5546875" customWidth="1"/>
    <col min="16" max="16" width="17.21875" customWidth="1"/>
    <col min="17" max="17" width="16.88671875" customWidth="1"/>
    <col min="20" max="20" width="25.21875" customWidth="1"/>
  </cols>
  <sheetData>
    <row r="3" spans="2:18" ht="24" customHeight="1" x14ac:dyDescent="0.3">
      <c r="B3" s="56" t="s">
        <v>28</v>
      </c>
      <c r="D3" s="43" t="s">
        <v>13</v>
      </c>
      <c r="E3" s="43" t="s">
        <v>67</v>
      </c>
      <c r="F3" s="33" t="s">
        <v>23</v>
      </c>
      <c r="G3" s="33" t="s">
        <v>21</v>
      </c>
      <c r="H3" s="33" t="s">
        <v>22</v>
      </c>
      <c r="I3" s="34" t="s">
        <v>68</v>
      </c>
      <c r="J3" s="32" t="s">
        <v>23</v>
      </c>
      <c r="K3" s="33" t="s">
        <v>69</v>
      </c>
      <c r="L3" s="33" t="s">
        <v>70</v>
      </c>
      <c r="M3" s="34" t="s">
        <v>71</v>
      </c>
      <c r="O3" s="42" t="s">
        <v>24</v>
      </c>
      <c r="P3" s="42" t="s">
        <v>41</v>
      </c>
      <c r="Q3" s="95" t="s">
        <v>42</v>
      </c>
      <c r="R3" s="72" t="s">
        <v>25</v>
      </c>
    </row>
    <row r="4" spans="2:18" x14ac:dyDescent="0.3">
      <c r="B4" s="50">
        <v>2.5000000000000001E-2</v>
      </c>
      <c r="D4" s="45">
        <v>0</v>
      </c>
      <c r="E4" s="49">
        <f>Hypothèses!C60</f>
        <v>26845730</v>
      </c>
      <c r="F4" s="46"/>
      <c r="G4" s="46"/>
      <c r="H4" s="46"/>
      <c r="I4" s="47">
        <f>E4</f>
        <v>26845730</v>
      </c>
      <c r="J4" s="45"/>
      <c r="K4" s="46"/>
      <c r="L4" s="46"/>
      <c r="M4" s="47">
        <v>0</v>
      </c>
      <c r="O4" s="40">
        <f t="shared" ref="O4:O28" si="0">M4-I4</f>
        <v>-26845730</v>
      </c>
      <c r="P4" s="53">
        <f>O4</f>
        <v>-26845730</v>
      </c>
      <c r="Q4" s="53">
        <v>-27008880</v>
      </c>
      <c r="R4" s="94">
        <f>IRR(O4:O34)</f>
        <v>2.4536704787944119E-2</v>
      </c>
    </row>
    <row r="5" spans="2:18" x14ac:dyDescent="0.3">
      <c r="D5" s="2">
        <v>1</v>
      </c>
      <c r="E5" s="38"/>
      <c r="F5" s="1">
        <f>Hypothèses!D59</f>
        <v>14365</v>
      </c>
      <c r="G5" s="1">
        <f>Hypothèses!E55+Hypothèses!E56+Hypothèses!E58</f>
        <v>7228</v>
      </c>
      <c r="H5" s="1">
        <f>Hypothèses!E57</f>
        <v>59013</v>
      </c>
      <c r="I5" s="5">
        <f>G5+H5+F5</f>
        <v>80606</v>
      </c>
      <c r="J5" s="40">
        <f>Hypothèses!D57+Hypothèses!D58</f>
        <v>6465</v>
      </c>
      <c r="K5" s="35">
        <f>Hypothèses!L62</f>
        <v>12337.844827586207</v>
      </c>
      <c r="L5" s="35">
        <f>Hypothèses!L58</f>
        <v>375000</v>
      </c>
      <c r="M5" s="5">
        <f>K5+L5+J5</f>
        <v>393802.8448275862</v>
      </c>
      <c r="O5" s="40">
        <f>M5-I5</f>
        <v>313196.8448275862</v>
      </c>
      <c r="P5" s="38">
        <f>O5+P4</f>
        <v>-26532533.155172415</v>
      </c>
      <c r="Q5" s="38">
        <v>-26696685.155172415</v>
      </c>
    </row>
    <row r="6" spans="2:18" x14ac:dyDescent="0.3">
      <c r="B6" s="51" t="s">
        <v>40</v>
      </c>
      <c r="D6" s="2">
        <v>2</v>
      </c>
      <c r="E6" s="38"/>
      <c r="F6" s="35">
        <f>F5+(F5*Hypothèses!H$53)</f>
        <v>14652.3</v>
      </c>
      <c r="G6" s="35">
        <f>G5+G5*Hypothèses!H$54</f>
        <v>7711.4517543859647</v>
      </c>
      <c r="H6" s="35">
        <f>H5+H5*Hypothèses!I$54</f>
        <v>64422.525000000001</v>
      </c>
      <c r="I6" s="5">
        <f t="shared" ref="I6:I34" si="1">G6+H6+F6</f>
        <v>86786.276754385966</v>
      </c>
      <c r="J6" s="40">
        <f>J5+(J5*Hypothèses!H$53)</f>
        <v>6594.3</v>
      </c>
      <c r="K6" s="35">
        <f>K5+K5*Hypothèses!H$54</f>
        <v>13163.073483817301</v>
      </c>
      <c r="L6" s="35">
        <f>L5+L5*Hypothèses!I$54</f>
        <v>409375</v>
      </c>
      <c r="M6" s="5">
        <f t="shared" ref="M6:M28" si="2">K6+L6+J6</f>
        <v>429132.37348381727</v>
      </c>
      <c r="O6" s="40">
        <f t="shared" si="0"/>
        <v>342346.0967294313</v>
      </c>
      <c r="P6" s="38">
        <f>O6+P5</f>
        <v>-26190187.058442984</v>
      </c>
      <c r="Q6" s="38">
        <v>-26355333.998355266</v>
      </c>
    </row>
    <row r="7" spans="2:18" x14ac:dyDescent="0.3">
      <c r="B7" s="89">
        <f>E24/2</f>
        <v>149523.75017649858</v>
      </c>
      <c r="D7" s="2">
        <v>3</v>
      </c>
      <c r="E7" s="38"/>
      <c r="F7" s="35">
        <f>F6+(F6*Hypothèses!H$53)</f>
        <v>14945.346</v>
      </c>
      <c r="G7" s="35">
        <f>G6+G6*Hypothèses!H$54</f>
        <v>8227.2396458525691</v>
      </c>
      <c r="H7" s="35">
        <f>H6+H6*Hypothèses!I$54</f>
        <v>70327.923125000001</v>
      </c>
      <c r="I7" s="5">
        <f t="shared" si="1"/>
        <v>93500.508770852568</v>
      </c>
      <c r="J7" s="40">
        <f>J6+(J6*Hypothèses!H$53)</f>
        <v>6726.1860000000006</v>
      </c>
      <c r="K7" s="35">
        <f>K6+K6*Hypothèses!H$54</f>
        <v>14043.498354993677</v>
      </c>
      <c r="L7" s="35">
        <f>L6+L6*Hypothèses!I$54</f>
        <v>446901.04166666669</v>
      </c>
      <c r="M7" s="5">
        <f t="shared" si="2"/>
        <v>467670.72602166038</v>
      </c>
      <c r="O7" s="40">
        <f t="shared" si="0"/>
        <v>374170.21725080779</v>
      </c>
      <c r="P7" s="38">
        <f t="shared" ref="P7:P34" si="3">O7+P6</f>
        <v>-25816016.841192175</v>
      </c>
      <c r="Q7" s="38">
        <v>-25982149.70711175</v>
      </c>
    </row>
    <row r="8" spans="2:18" x14ac:dyDescent="0.3">
      <c r="D8" s="2">
        <v>4</v>
      </c>
      <c r="E8" s="38"/>
      <c r="F8" s="35">
        <f>F7+(F7*Hypothèses!H$53)</f>
        <v>15244.252919999999</v>
      </c>
      <c r="G8" s="35">
        <f>G7+G7*Hypothèses!H$54</f>
        <v>8777.5265081299895</v>
      </c>
      <c r="H8" s="35">
        <f>H7+H7*Hypothèses!I$54</f>
        <v>76774.649411458333</v>
      </c>
      <c r="I8" s="5">
        <f t="shared" si="1"/>
        <v>100796.42883958832</v>
      </c>
      <c r="J8" s="40">
        <f>J7+(J7*Hypothèses!H$53)</f>
        <v>6860.7097200000007</v>
      </c>
      <c r="K8" s="35">
        <f>K7+K7*Hypothèses!H$54</f>
        <v>14982.811293211456</v>
      </c>
      <c r="L8" s="35">
        <f>L7+L7*Hypothèses!I$54</f>
        <v>487866.97048611112</v>
      </c>
      <c r="M8" s="5">
        <f t="shared" si="2"/>
        <v>509710.49149932258</v>
      </c>
      <c r="O8" s="40">
        <f t="shared" si="0"/>
        <v>408914.06265973428</v>
      </c>
      <c r="P8" s="38">
        <f t="shared" si="3"/>
        <v>-25407102.778532442</v>
      </c>
      <c r="Q8" s="38">
        <v>-25574210.442422163</v>
      </c>
    </row>
    <row r="9" spans="2:18" x14ac:dyDescent="0.3">
      <c r="D9" s="2">
        <v>5</v>
      </c>
      <c r="E9" s="38"/>
      <c r="F9" s="35">
        <f>F8+(F8*Hypothèses!H$53)</f>
        <v>15549.137978399998</v>
      </c>
      <c r="G9" s="35">
        <f>G8+G8*Hypothèses!H$54</f>
        <v>9364.6198381693866</v>
      </c>
      <c r="H9" s="35">
        <f>H8+H8*Hypothèses!I$54</f>
        <v>83812.325607508683</v>
      </c>
      <c r="I9" s="5">
        <f t="shared" si="1"/>
        <v>108726.08342407807</v>
      </c>
      <c r="J9" s="40">
        <f>J8+(J8*Hypothèses!H$53)</f>
        <v>6997.9239144000012</v>
      </c>
      <c r="K9" s="35">
        <f>K8+K8*Hypothèses!H$54</f>
        <v>15984.95108365652</v>
      </c>
      <c r="L9" s="35">
        <f>L8+L8*Hypothèses!I$54</f>
        <v>532588.10944733792</v>
      </c>
      <c r="M9" s="5">
        <f t="shared" si="2"/>
        <v>555570.98444539448</v>
      </c>
      <c r="O9" s="40">
        <f t="shared" si="0"/>
        <v>446844.90102131641</v>
      </c>
      <c r="P9" s="38">
        <f t="shared" si="3"/>
        <v>-24960257.877511125</v>
      </c>
      <c r="Q9" s="38">
        <v>-25128326.925571356</v>
      </c>
    </row>
    <row r="10" spans="2:18" x14ac:dyDescent="0.3">
      <c r="D10" s="2">
        <v>6</v>
      </c>
      <c r="E10" s="38"/>
      <c r="F10" s="35">
        <f>F9+(F9*Hypothèses!H$53)</f>
        <v>15860.120737967998</v>
      </c>
      <c r="G10" s="35">
        <f>G9+G9*Hypothèses!H$54</f>
        <v>9990.9814720820323</v>
      </c>
      <c r="H10" s="35">
        <f>H9+H9*Hypothèses!I$54</f>
        <v>91495.122121530309</v>
      </c>
      <c r="I10" s="5">
        <f t="shared" si="1"/>
        <v>117346.22433158034</v>
      </c>
      <c r="J10" s="40">
        <f>J9+(J9*Hypothèses!H$53)</f>
        <v>7137.8823926880013</v>
      </c>
      <c r="K10" s="35">
        <f>K9+K9*Hypothèses!H$54</f>
        <v>17054.119960962493</v>
      </c>
      <c r="L10" s="35">
        <f>L9+L9*Hypothèses!I$54</f>
        <v>581408.68614667724</v>
      </c>
      <c r="M10" s="5">
        <f t="shared" si="2"/>
        <v>605600.68850032764</v>
      </c>
      <c r="O10" s="40">
        <f t="shared" si="0"/>
        <v>488254.4641687473</v>
      </c>
      <c r="P10" s="38">
        <f t="shared" si="3"/>
        <v>-24472003.413342379</v>
      </c>
      <c r="Q10" s="38">
        <v>-24641017.962296505</v>
      </c>
    </row>
    <row r="11" spans="2:18" x14ac:dyDescent="0.3">
      <c r="D11" s="2">
        <v>7</v>
      </c>
      <c r="E11" s="38"/>
      <c r="F11" s="35">
        <f>F10+(F10*Hypothèses!H$53)</f>
        <v>16177.323152727358</v>
      </c>
      <c r="G11" s="35">
        <f>G10+G10*Hypothèses!H$54</f>
        <v>10659.237908262958</v>
      </c>
      <c r="H11" s="35">
        <f>H10+H10*Hypothèses!I$54</f>
        <v>99882.174982670593</v>
      </c>
      <c r="I11" s="5">
        <f t="shared" si="1"/>
        <v>126718.73604366092</v>
      </c>
      <c r="J11" s="40">
        <f>J10+(J10*Hypothèses!H$53)</f>
        <v>7280.6400405417617</v>
      </c>
      <c r="K11" s="35">
        <f>K10+K10*Hypothèses!H$54</f>
        <v>18194.801230281257</v>
      </c>
      <c r="L11" s="35">
        <f>L10+L10*Hypothèses!I$54</f>
        <v>634704.48237678932</v>
      </c>
      <c r="M11" s="5">
        <f t="shared" si="2"/>
        <v>660179.92364761233</v>
      </c>
      <c r="O11" s="40">
        <f t="shared" si="0"/>
        <v>533461.18760395143</v>
      </c>
      <c r="P11" s="38">
        <f t="shared" si="3"/>
        <v>-23938542.225738429</v>
      </c>
      <c r="Q11" s="38">
        <v>-24108483.726213858</v>
      </c>
    </row>
    <row r="12" spans="2:18" x14ac:dyDescent="0.3">
      <c r="B12" s="91"/>
      <c r="D12" s="2">
        <v>8</v>
      </c>
      <c r="E12" s="38"/>
      <c r="F12" s="35">
        <f>F11+(F11*Hypothèses!H$53)</f>
        <v>16500.869615781907</v>
      </c>
      <c r="G12" s="35">
        <f>G11+G11*Hypothèses!H$54</f>
        <v>11372.191320986687</v>
      </c>
      <c r="H12" s="35">
        <f>H11+H11*Hypothèses!I$54</f>
        <v>109038.04102274873</v>
      </c>
      <c r="I12" s="5">
        <f t="shared" si="1"/>
        <v>136911.10195951734</v>
      </c>
      <c r="J12" s="40">
        <f>J11+(J11*Hypothèses!H$53)</f>
        <v>7426.252841352597</v>
      </c>
      <c r="K12" s="35">
        <f>K11+K11*Hypothèses!H$54</f>
        <v>19411.778066955772</v>
      </c>
      <c r="L12" s="35">
        <f>L11+L11*Hypothèses!I$54</f>
        <v>692885.72659466171</v>
      </c>
      <c r="M12" s="5">
        <f t="shared" si="2"/>
        <v>719723.75750297005</v>
      </c>
      <c r="O12" s="40">
        <f t="shared" si="0"/>
        <v>582812.65554345271</v>
      </c>
      <c r="P12" s="38">
        <f t="shared" si="3"/>
        <v>-23355729.570194975</v>
      </c>
      <c r="Q12" s="38">
        <v>-23526576.596324194</v>
      </c>
    </row>
    <row r="13" spans="2:18" x14ac:dyDescent="0.3">
      <c r="D13" s="2">
        <v>9</v>
      </c>
      <c r="E13" s="38"/>
      <c r="F13" s="35">
        <f>F12+(F12*Hypothèses!H$53)</f>
        <v>16830.887008097547</v>
      </c>
      <c r="G13" s="35">
        <f>G12+G12*Hypothèses!H$54</f>
        <v>12132.831310657946</v>
      </c>
      <c r="H13" s="35">
        <f>H12+H12*Hypothèses!I$54</f>
        <v>119033.19478316736</v>
      </c>
      <c r="I13" s="5">
        <f t="shared" si="1"/>
        <v>147996.91310192287</v>
      </c>
      <c r="J13" s="40">
        <f>J12+(J12*Hypothèses!H$53)</f>
        <v>7574.7778981796491</v>
      </c>
      <c r="K13" s="35">
        <f>K12+K12*Hypothèses!H$54</f>
        <v>20710.153573627158</v>
      </c>
      <c r="L13" s="35">
        <f>L12+L12*Hypothèses!I$54</f>
        <v>756400.25153250573</v>
      </c>
      <c r="M13" s="5">
        <f t="shared" si="2"/>
        <v>784685.18300431245</v>
      </c>
      <c r="O13" s="40">
        <f t="shared" si="0"/>
        <v>636688.26990238961</v>
      </c>
      <c r="P13" s="38">
        <f t="shared" si="3"/>
        <v>-22719041.300292585</v>
      </c>
      <c r="Q13" s="38">
        <v>-22890769.324599963</v>
      </c>
    </row>
    <row r="14" spans="2:18" x14ac:dyDescent="0.3">
      <c r="D14" s="2">
        <v>10</v>
      </c>
      <c r="E14" s="38"/>
      <c r="F14" s="35">
        <f>F13+(F13*Hypothèses!H$53)</f>
        <v>17167.504748259496</v>
      </c>
      <c r="G14" s="35">
        <f>G13+G13*Hypothèses!H$54</f>
        <v>12944.347439989235</v>
      </c>
      <c r="H14" s="35">
        <f>H13+H13*Hypothèses!I$54</f>
        <v>129944.57097162437</v>
      </c>
      <c r="I14" s="5">
        <f t="shared" si="1"/>
        <v>160056.42315987311</v>
      </c>
      <c r="J14" s="40">
        <f>J13+(J13*Hypothèses!H$53)</f>
        <v>7726.2734561432417</v>
      </c>
      <c r="K14" s="35">
        <f>K13+K13*Hypothèses!H$54</f>
        <v>22095.372178880731</v>
      </c>
      <c r="L14" s="35">
        <f>L13+L13*Hypothèses!I$54</f>
        <v>825736.94125631871</v>
      </c>
      <c r="M14" s="5">
        <f t="shared" si="2"/>
        <v>855558.58689134265</v>
      </c>
      <c r="O14" s="40">
        <f t="shared" si="0"/>
        <v>695502.16373146954</v>
      </c>
      <c r="P14" s="38">
        <f t="shared" si="3"/>
        <v>-22023539.136561114</v>
      </c>
      <c r="Q14" s="38">
        <v>-22196120.289138496</v>
      </c>
    </row>
    <row r="15" spans="2:18" x14ac:dyDescent="0.3">
      <c r="D15" s="2">
        <v>11</v>
      </c>
      <c r="E15" s="38"/>
      <c r="F15" s="35">
        <f>F14+(F14*Hypothèses!H$53)</f>
        <v>17510.854843224686</v>
      </c>
      <c r="G15" s="35">
        <f>G14+G14*Hypothèses!H$54</f>
        <v>13810.142608672726</v>
      </c>
      <c r="H15" s="35">
        <f>H14+H14*Hypothèses!I$54</f>
        <v>141856.15664402329</v>
      </c>
      <c r="I15" s="5">
        <f t="shared" si="1"/>
        <v>173177.15409592071</v>
      </c>
      <c r="J15" s="40">
        <f>J14+(J14*Hypothèses!H$53)</f>
        <v>7880.7989252661064</v>
      </c>
      <c r="K15" s="35">
        <f>K14+K14*Hypothèses!H$54</f>
        <v>23573.24246716113</v>
      </c>
      <c r="L15" s="35">
        <f>L14+L14*Hypothèses!I$54</f>
        <v>901429.49420481455</v>
      </c>
      <c r="M15" s="5">
        <f t="shared" si="2"/>
        <v>932883.53559724183</v>
      </c>
      <c r="O15" s="40">
        <f t="shared" si="0"/>
        <v>759706.3815013211</v>
      </c>
      <c r="P15" s="38">
        <f t="shared" si="3"/>
        <v>-21263832.755059794</v>
      </c>
      <c r="Q15" s="38">
        <v>-21437235.565966889</v>
      </c>
    </row>
    <row r="16" spans="2:18" x14ac:dyDescent="0.3">
      <c r="D16" s="2">
        <v>12</v>
      </c>
      <c r="E16" s="38"/>
      <c r="F16" s="35">
        <f>F15+(F15*Hypothèses!H$53)</f>
        <v>17861.071940089179</v>
      </c>
      <c r="G16" s="35">
        <f>G15+G15*Hypothèses!H$54</f>
        <v>14733.847322630003</v>
      </c>
      <c r="H16" s="35">
        <f>H15+H15*Hypothèses!I$54</f>
        <v>154859.63766972543</v>
      </c>
      <c r="I16" s="5">
        <f t="shared" si="1"/>
        <v>187454.5569324446</v>
      </c>
      <c r="J16" s="40">
        <f>J15+(J15*Hypothèses!H$53)</f>
        <v>8038.4149037714287</v>
      </c>
      <c r="K16" s="35">
        <f>K15+K15*Hypothèses!H$54</f>
        <v>25149.961535688355</v>
      </c>
      <c r="L16" s="35">
        <f>L15+L15*Hypothèses!I$54</f>
        <v>984060.53117358917</v>
      </c>
      <c r="M16" s="5">
        <f t="shared" si="2"/>
        <v>1017248.907613049</v>
      </c>
      <c r="O16" s="40">
        <f t="shared" si="0"/>
        <v>829794.35068060446</v>
      </c>
      <c r="P16" s="38">
        <f t="shared" si="3"/>
        <v>-20434038.404379189</v>
      </c>
      <c r="Q16" s="38">
        <v>-20608227.528133437</v>
      </c>
    </row>
    <row r="17" spans="4:17" x14ac:dyDescent="0.3">
      <c r="D17" s="2">
        <v>13</v>
      </c>
      <c r="E17" s="38"/>
      <c r="F17" s="35">
        <f>F16+(F16*Hypothèses!H$53)</f>
        <v>18218.293378890961</v>
      </c>
      <c r="G17" s="35">
        <f>G16+G16*Hypothèses!H$54</f>
        <v>15719.334917674334</v>
      </c>
      <c r="H17" s="35">
        <f>H16+H16*Hypothèses!I$54</f>
        <v>169055.10445611694</v>
      </c>
      <c r="I17" s="5">
        <f t="shared" si="1"/>
        <v>202992.73275268223</v>
      </c>
      <c r="J17" s="40">
        <f>J16+(J16*Hypothèses!H$53)</f>
        <v>8199.1832018468576</v>
      </c>
      <c r="K17" s="35">
        <f>K16+K16*Hypothèses!H$54</f>
        <v>26832.140980509615</v>
      </c>
      <c r="L17" s="35">
        <f>L16+L16*Hypothèses!I$54</f>
        <v>1074266.0798645015</v>
      </c>
      <c r="M17" s="5">
        <f t="shared" si="2"/>
        <v>1109297.404046858</v>
      </c>
      <c r="O17" s="40">
        <f t="shared" si="0"/>
        <v>906304.67129417579</v>
      </c>
      <c r="P17" s="38">
        <f t="shared" si="3"/>
        <v>-19527733.733085014</v>
      </c>
      <c r="Q17" s="38">
        <v>-19702669.654029287</v>
      </c>
    </row>
    <row r="18" spans="4:17" x14ac:dyDescent="0.3">
      <c r="D18" s="2">
        <v>14</v>
      </c>
      <c r="E18" s="38"/>
      <c r="F18" s="35">
        <f>F17+(F17*Hypothèses!H$53)</f>
        <v>18582.659246468782</v>
      </c>
      <c r="G18" s="35">
        <f>G17+G17*Hypothèses!H$54</f>
        <v>16770.737801422289</v>
      </c>
      <c r="H18" s="35">
        <f>H17+H17*Hypothèses!I$54</f>
        <v>184551.82236459432</v>
      </c>
      <c r="I18" s="5">
        <f t="shared" si="1"/>
        <v>219905.21941248537</v>
      </c>
      <c r="J18" s="40">
        <f>J17+(J17*Hypothèses!H$53)</f>
        <v>8363.1668658837953</v>
      </c>
      <c r="K18" s="35">
        <f>K17+K17*Hypothèses!H$54</f>
        <v>28626.83462065335</v>
      </c>
      <c r="L18" s="35">
        <f>L17+L17*Hypothèses!I$54</f>
        <v>1172740.4705187473</v>
      </c>
      <c r="M18" s="5">
        <f t="shared" si="2"/>
        <v>1209730.4720052846</v>
      </c>
      <c r="O18" s="40">
        <f t="shared" si="0"/>
        <v>989825.25259279925</v>
      </c>
      <c r="P18" s="38">
        <f t="shared" si="3"/>
        <v>-18537908.480492216</v>
      </c>
      <c r="Q18" s="38">
        <v>-18713547.197747521</v>
      </c>
    </row>
    <row r="19" spans="4:17" x14ac:dyDescent="0.3">
      <c r="D19" s="2">
        <v>15</v>
      </c>
      <c r="E19" s="38"/>
      <c r="F19" s="40">
        <f>F18+(F18*Hypothèses!H$53)</f>
        <v>18954.312431398157</v>
      </c>
      <c r="G19" s="35">
        <f>G18+G18*Hypothèses!H$54</f>
        <v>17892.464781561281</v>
      </c>
      <c r="H19" s="35">
        <f>H18+H18*Hypothèses!I$54</f>
        <v>201469.07274801546</v>
      </c>
      <c r="I19" s="5">
        <f t="shared" si="1"/>
        <v>238315.84996097491</v>
      </c>
      <c r="J19" s="40">
        <f>J18+(J18*Hypothèses!H$53)</f>
        <v>8530.4302032014712</v>
      </c>
      <c r="K19" s="35">
        <f>K18+K18*Hypothèses!H$54</f>
        <v>30541.568076640033</v>
      </c>
      <c r="L19" s="35">
        <f>L18+L18*Hypothèses!I$54</f>
        <v>1280241.6803162992</v>
      </c>
      <c r="M19" s="5">
        <f t="shared" si="2"/>
        <v>1319313.6785961408</v>
      </c>
      <c r="O19" s="40">
        <f>M19-I19</f>
        <v>1080997.8286351659</v>
      </c>
      <c r="P19" s="38">
        <f t="shared" si="3"/>
        <v>-17456910.651857048</v>
      </c>
      <c r="Q19" s="38">
        <v>-17633203.342480555</v>
      </c>
    </row>
    <row r="20" spans="4:17" x14ac:dyDescent="0.3">
      <c r="D20" s="2">
        <v>16</v>
      </c>
      <c r="E20" s="38"/>
      <c r="F20" s="35">
        <f>F19+(F19*Hypothèses!H$53)</f>
        <v>19333.398680026119</v>
      </c>
      <c r="G20" s="35">
        <f>G19+G19*Hypothèses!H$54</f>
        <v>19089.219553135008</v>
      </c>
      <c r="H20" s="35">
        <f>H19+H19*Hypothèses!I$54</f>
        <v>219937.07108325022</v>
      </c>
      <c r="I20" s="5">
        <f t="shared" si="1"/>
        <v>258359.68931641136</v>
      </c>
      <c r="J20" s="40">
        <f>J19+(J19*Hypothèses!H$53)</f>
        <v>8701.0388072655005</v>
      </c>
      <c r="K20" s="35">
        <f>K19+K19*Hypothèses!H$54</f>
        <v>32584.370327380209</v>
      </c>
      <c r="L20" s="35">
        <f>L19+L19*Hypothèses!I$54</f>
        <v>1397597.1676786267</v>
      </c>
      <c r="M20" s="5">
        <f t="shared" si="2"/>
        <v>1438882.5768132724</v>
      </c>
      <c r="O20" s="40">
        <f t="shared" si="0"/>
        <v>1180522.8874968612</v>
      </c>
      <c r="P20" s="38">
        <f t="shared" si="3"/>
        <v>-16276387.764360188</v>
      </c>
      <c r="Q20" s="38">
        <v>-16453280.423236372</v>
      </c>
    </row>
    <row r="21" spans="4:17" x14ac:dyDescent="0.3">
      <c r="D21" s="2">
        <v>17</v>
      </c>
      <c r="E21" s="38"/>
      <c r="F21" s="35">
        <f>F20+(F20*Hypothèses!H$53)</f>
        <v>19720.06665362664</v>
      </c>
      <c r="G21" s="35">
        <f>G20+G20*Hypothèses!H$54</f>
        <v>20366.02042236882</v>
      </c>
      <c r="H21" s="35">
        <f>H20+H20*Hypothèses!I$54</f>
        <v>240097.96926588149</v>
      </c>
      <c r="I21" s="5">
        <f t="shared" si="1"/>
        <v>280184.05634187692</v>
      </c>
      <c r="J21" s="40">
        <f>J20+(J20*Hypothèses!H$53)</f>
        <v>8875.0595834108099</v>
      </c>
      <c r="K21" s="35">
        <f>K20+K20*Hypothèses!H$54</f>
        <v>34763.807377786121</v>
      </c>
      <c r="L21" s="35">
        <f>L20+L20*Hypothèses!I$54</f>
        <v>1525710.2413825009</v>
      </c>
      <c r="M21" s="5">
        <f t="shared" si="2"/>
        <v>1569349.1083436979</v>
      </c>
      <c r="O21" s="40">
        <f t="shared" si="0"/>
        <v>1289165.0520018209</v>
      </c>
      <c r="P21" s="38">
        <f t="shared" si="3"/>
        <v>-14987222.712358367</v>
      </c>
      <c r="Q21" s="38">
        <v>-15164655.767252339</v>
      </c>
    </row>
    <row r="22" spans="4:17" x14ac:dyDescent="0.3">
      <c r="D22" s="2">
        <v>18</v>
      </c>
      <c r="E22" s="38"/>
      <c r="F22" s="35">
        <f>F21+(F21*Hypothèses!H$53)</f>
        <v>20114.467986699172</v>
      </c>
      <c r="G22" s="35">
        <f>G21+G21*Hypothèses!H$54</f>
        <v>21728.221349742173</v>
      </c>
      <c r="H22" s="35">
        <f>H21+H21*Hypothèses!I$54</f>
        <v>262106.94978192062</v>
      </c>
      <c r="I22" s="5">
        <f t="shared" si="1"/>
        <v>303949.63911836199</v>
      </c>
      <c r="J22" s="40">
        <f>J21+(J21*Hypothèses!H$53)</f>
        <v>9052.5607750790259</v>
      </c>
      <c r="K22" s="35">
        <f>K21+K21*Hypothèses!H$54</f>
        <v>37089.018178274011</v>
      </c>
      <c r="L22" s="35">
        <f>L21+L21*Hypothèses!I$54</f>
        <v>1665567.0135092302</v>
      </c>
      <c r="M22" s="5">
        <f t="shared" si="2"/>
        <v>1711708.5924625832</v>
      </c>
      <c r="O22" s="40">
        <f t="shared" si="0"/>
        <v>1407758.9533442212</v>
      </c>
      <c r="P22" s="38">
        <f t="shared" si="3"/>
        <v>-13579463.759014145</v>
      </c>
      <c r="Q22" s="38">
        <v>-13757371.659110798</v>
      </c>
    </row>
    <row r="23" spans="4:17" x14ac:dyDescent="0.3">
      <c r="D23" s="2">
        <v>19</v>
      </c>
      <c r="E23" s="38"/>
      <c r="F23" s="35">
        <f>F22+(F22*Hypothèses!H$53)</f>
        <v>20516.757346433154</v>
      </c>
      <c r="G23" s="35">
        <f>G22+G22*Hypothèses!H$54</f>
        <v>23181.534400547298</v>
      </c>
      <c r="H23" s="35">
        <f>H22+H22*Hypothèses!I$54</f>
        <v>286133.42017859669</v>
      </c>
      <c r="I23" s="5">
        <f t="shared" si="1"/>
        <v>329831.71192557714</v>
      </c>
      <c r="J23" s="40">
        <f>J22+(J22*Hypothèses!H$53)</f>
        <v>9233.6119905806063</v>
      </c>
      <c r="K23" s="35">
        <f>K22+K22*Hypothèses!H$54</f>
        <v>39569.752946776985</v>
      </c>
      <c r="L23" s="35">
        <f>L22+L22*Hypothèses!I$54</f>
        <v>1818243.9897475764</v>
      </c>
      <c r="M23" s="5">
        <f t="shared" si="2"/>
        <v>1867047.354684934</v>
      </c>
      <c r="O23" s="40">
        <f t="shared" si="0"/>
        <v>1537215.6427593569</v>
      </c>
      <c r="P23" s="38">
        <f t="shared" si="3"/>
        <v>-12042248.116254788</v>
      </c>
      <c r="Q23" s="38">
        <v>-12220558.892395008</v>
      </c>
    </row>
    <row r="24" spans="4:17" x14ac:dyDescent="0.3">
      <c r="D24" s="2">
        <v>20</v>
      </c>
      <c r="E24" s="38">
        <v>299047.50035299716</v>
      </c>
      <c r="F24" s="40">
        <f>F23+(F23*Hypothèses!H$53)</f>
        <v>20927.092493361819</v>
      </c>
      <c r="G24" s="35">
        <f>G23+G23*Hypothèses!H$54</f>
        <v>24732.053697075135</v>
      </c>
      <c r="H24" s="35">
        <f>H23+H23*Hypothèses!I$54</f>
        <v>312362.31702830136</v>
      </c>
      <c r="I24" s="5">
        <f t="shared" si="1"/>
        <v>358021.46321873827</v>
      </c>
      <c r="J24" s="40">
        <f>J23+(J23*Hypothèses!H$53)</f>
        <v>9418.2842303922189</v>
      </c>
      <c r="K24" s="35">
        <f>K23+K23*Hypothèses!H$54</f>
        <v>42216.414053962726</v>
      </c>
      <c r="L24" s="35">
        <f>L23+L23*Hypothèses!I$54</f>
        <v>1984916.3554744376</v>
      </c>
      <c r="M24" s="5">
        <f t="shared" si="2"/>
        <v>2036551.0537587926</v>
      </c>
      <c r="O24" s="40">
        <f>-E24+M24-I24</f>
        <v>1379482.0901870572</v>
      </c>
      <c r="P24" s="38">
        <f t="shared" si="3"/>
        <v>-10662766.02606773</v>
      </c>
      <c r="Q24" s="38">
        <v>-11043196.435394743</v>
      </c>
    </row>
    <row r="25" spans="4:17" x14ac:dyDescent="0.3">
      <c r="D25" s="2">
        <v>21</v>
      </c>
      <c r="E25" s="38"/>
      <c r="F25" s="35">
        <f>F24+(F24*Hypothèses!H$53)</f>
        <v>21345.634343229056</v>
      </c>
      <c r="G25" s="35">
        <f>G24+G24*Hypothèses!H$54</f>
        <v>26386.280972866345</v>
      </c>
      <c r="H25" s="35">
        <f>H24+H24*Hypothèses!I$54</f>
        <v>340995.52942256234</v>
      </c>
      <c r="I25" s="5">
        <f t="shared" si="1"/>
        <v>388727.44473865774</v>
      </c>
      <c r="J25" s="40">
        <f>J24+(J24*Hypothèses!H$53)</f>
        <v>9606.6499150000636</v>
      </c>
      <c r="K25" s="35">
        <f>K24+K24*Hypothèses!H$54</f>
        <v>45040.099643098394</v>
      </c>
      <c r="L25" s="35">
        <f>L24+L24*Hypothèses!I$54</f>
        <v>2166867.0213929275</v>
      </c>
      <c r="M25" s="5">
        <f t="shared" si="2"/>
        <v>2221513.7709510257</v>
      </c>
      <c r="O25" s="40">
        <f t="shared" si="0"/>
        <v>1832786.326212368</v>
      </c>
      <c r="P25" s="38">
        <f t="shared" si="3"/>
        <v>-8829979.6998553611</v>
      </c>
      <c r="Q25" s="38">
        <v>-9210647.8797256984</v>
      </c>
    </row>
    <row r="26" spans="4:17" x14ac:dyDescent="0.3">
      <c r="D26" s="2">
        <v>22</v>
      </c>
      <c r="E26" s="38"/>
      <c r="F26" s="35">
        <f>F25+(F25*Hypothèses!H$53)</f>
        <v>21772.547030093636</v>
      </c>
      <c r="G26" s="35">
        <f>G25+G25*Hypothèses!H$54</f>
        <v>28151.152836183064</v>
      </c>
      <c r="H26" s="35">
        <f>H25+H25*Hypothèses!I$54</f>
        <v>372253.45295296388</v>
      </c>
      <c r="I26" s="5">
        <f t="shared" si="1"/>
        <v>422177.15281924058</v>
      </c>
      <c r="J26" s="40">
        <f>J25+(J25*Hypothèses!H$53)</f>
        <v>9798.782913300065</v>
      </c>
      <c r="K26" s="35">
        <f>K25+K25*Hypothèses!H$54</f>
        <v>48052.650167472297</v>
      </c>
      <c r="L26" s="35">
        <f>L25+L25*Hypothèses!I$54</f>
        <v>2365496.498353946</v>
      </c>
      <c r="M26" s="5">
        <f t="shared" si="2"/>
        <v>2423347.9314347184</v>
      </c>
      <c r="O26" s="40">
        <f t="shared" si="0"/>
        <v>2001170.778615478</v>
      </c>
      <c r="P26" s="38">
        <f t="shared" si="3"/>
        <v>-6828808.9212398827</v>
      </c>
      <c r="Q26" s="38">
        <v>-7209620.6964433584</v>
      </c>
    </row>
    <row r="27" spans="4:17" x14ac:dyDescent="0.3">
      <c r="D27" s="2">
        <v>23</v>
      </c>
      <c r="E27" s="38"/>
      <c r="F27" s="35">
        <f>F26+(F26*Hypothèses!H$53)</f>
        <v>22207.997970695509</v>
      </c>
      <c r="G27" s="35">
        <f>G26+G26*Hypothèses!H$54</f>
        <v>30034.069857024257</v>
      </c>
      <c r="H27" s="35">
        <f>H26+H26*Hypothèses!I$54</f>
        <v>406376.68614031893</v>
      </c>
      <c r="I27" s="5">
        <f t="shared" si="1"/>
        <v>458618.75396803865</v>
      </c>
      <c r="J27" s="40">
        <f>J26+(J26*Hypothèses!H$53)</f>
        <v>9994.7585715660662</v>
      </c>
      <c r="K27" s="35">
        <f>K26+K26*Hypothèses!H$54</f>
        <v>51266.698040515948</v>
      </c>
      <c r="L27" s="35">
        <f>L26+L26*Hypothèses!I$54</f>
        <v>2582333.6773697245</v>
      </c>
      <c r="M27" s="5">
        <f t="shared" si="2"/>
        <v>2643595.1339818067</v>
      </c>
      <c r="O27" s="40">
        <f t="shared" si="0"/>
        <v>2184976.3800137681</v>
      </c>
      <c r="P27" s="38">
        <f t="shared" si="3"/>
        <v>-4643832.5412261151</v>
      </c>
      <c r="Q27" s="38">
        <v>-5024685.2359782923</v>
      </c>
    </row>
    <row r="28" spans="4:17" x14ac:dyDescent="0.3">
      <c r="D28" s="2">
        <v>24</v>
      </c>
      <c r="E28" s="38"/>
      <c r="F28" s="35">
        <f>F27+(F27*Hypothèses!H$53)</f>
        <v>22652.157930109421</v>
      </c>
      <c r="G28" s="35">
        <f>G27+G27*Hypothèses!H$54</f>
        <v>32042.927599654169</v>
      </c>
      <c r="H28" s="35">
        <f>H27+H27*Hypothèses!I$54</f>
        <v>443627.88236984814</v>
      </c>
      <c r="I28" s="5">
        <f t="shared" si="1"/>
        <v>498322.96789961174</v>
      </c>
      <c r="J28" s="40">
        <f>J27+(J27*Hypothèses!H$53)</f>
        <v>10194.653742997387</v>
      </c>
      <c r="K28" s="35">
        <f>K27+K27*Hypothèses!H$54</f>
        <v>54695.72060682239</v>
      </c>
      <c r="L28" s="35">
        <f>L27+L27*Hypothèses!I$54</f>
        <v>2819047.5977952825</v>
      </c>
      <c r="M28" s="5">
        <f t="shared" si="2"/>
        <v>2883937.9721451025</v>
      </c>
      <c r="O28" s="40">
        <f t="shared" si="0"/>
        <v>2385615.0042454908</v>
      </c>
      <c r="P28" s="38">
        <f t="shared" si="3"/>
        <v>-2258217.5369806243</v>
      </c>
      <c r="Q28" s="38">
        <v>-2638999.3623222164</v>
      </c>
    </row>
    <row r="29" spans="4:17" x14ac:dyDescent="0.3">
      <c r="D29" s="2">
        <v>25</v>
      </c>
      <c r="E29" s="40"/>
      <c r="F29" s="40">
        <f>F28+(F28*Hypothèses!H$53)</f>
        <v>23105.201088711608</v>
      </c>
      <c r="G29" s="35">
        <f>G28+G28*Hypothèses!H$54</f>
        <v>34186.149730771387</v>
      </c>
      <c r="H29" s="35">
        <f>H28+H28*Hypothèses!I$54</f>
        <v>484293.77158708422</v>
      </c>
      <c r="I29" s="35">
        <f t="shared" si="1"/>
        <v>541585.12240656721</v>
      </c>
      <c r="J29" s="40">
        <f>J28+(J28*Hypothèses!H$53)</f>
        <v>10398.546817857334</v>
      </c>
      <c r="K29" s="35">
        <f>K28+K28*Hypothèses!H$54</f>
        <v>58354.096656182221</v>
      </c>
      <c r="L29" s="35">
        <f>L28+L28*Hypothèses!I$54</f>
        <v>3077460.2942598499</v>
      </c>
      <c r="M29" s="35">
        <f>K29+L29+J29</f>
        <v>3146212.9377338896</v>
      </c>
      <c r="N29" s="75"/>
      <c r="O29" s="40">
        <f>M29-I29</f>
        <v>2604627.8153273221</v>
      </c>
      <c r="P29" s="38">
        <f t="shared" si="3"/>
        <v>346410.2783466978</v>
      </c>
      <c r="Q29" s="38">
        <v>-34179.120994556695</v>
      </c>
    </row>
    <row r="30" spans="4:17" x14ac:dyDescent="0.3">
      <c r="D30" s="2">
        <v>26</v>
      </c>
      <c r="E30" s="40"/>
      <c r="F30" s="40">
        <f>F29+(F29*Hypothèses!H$53)</f>
        <v>23567.305110485842</v>
      </c>
      <c r="G30" s="35">
        <f>G29+G29*Hypothèses!H$54</f>
        <v>36472.723342149737</v>
      </c>
      <c r="H30" s="35">
        <f>H29+H29*Hypothèses!I$54</f>
        <v>528687.36731590028</v>
      </c>
      <c r="I30" s="35">
        <f>G30+H30+F30</f>
        <v>588727.39576853591</v>
      </c>
      <c r="J30" s="40">
        <f>J29+(J29*Hypothèses!H$53)</f>
        <v>10606.517754214481</v>
      </c>
      <c r="K30" s="35">
        <f>K29+K29*Hypothèses!H$54</f>
        <v>62257.166717615459</v>
      </c>
      <c r="L30" s="35">
        <f>L29+L29*Hypothèses!I$54</f>
        <v>3359560.8212336693</v>
      </c>
      <c r="M30" s="35">
        <f t="shared" ref="M30:M34" si="4">K30+L30+J30</f>
        <v>3432424.5057054991</v>
      </c>
      <c r="N30" s="75"/>
      <c r="O30" s="40">
        <f>M30-I30</f>
        <v>2843697.1099369633</v>
      </c>
      <c r="P30" s="38">
        <f t="shared" si="3"/>
        <v>3190107.3882836611</v>
      </c>
      <c r="Q30" s="38">
        <v>2809842.4382907101</v>
      </c>
    </row>
    <row r="31" spans="4:17" x14ac:dyDescent="0.3">
      <c r="D31" s="2">
        <v>27</v>
      </c>
      <c r="E31" s="3"/>
      <c r="F31" s="35">
        <f>F30+(F30*Hypothèses!H$53)</f>
        <v>24038.65121269556</v>
      </c>
      <c r="G31" s="35">
        <f>G30+G30*Hypothèses!H$54</f>
        <v>38912.236635868088</v>
      </c>
      <c r="H31" s="35">
        <f>H30+H30*Hypothèses!I$54</f>
        <v>577150.37598652451</v>
      </c>
      <c r="I31" s="5">
        <f t="shared" si="1"/>
        <v>640101.26383508812</v>
      </c>
      <c r="J31" s="40">
        <f>J30+(J30*Hypothèses!H$53)</f>
        <v>10818.648109298771</v>
      </c>
      <c r="K31" s="35">
        <f>K30+K30*Hypothèses!H$54</f>
        <v>66421.297386227903</v>
      </c>
      <c r="L31" s="35">
        <f>L30+L30*Hypothèses!I$54</f>
        <v>3667520.563180089</v>
      </c>
      <c r="M31" s="5">
        <f t="shared" si="4"/>
        <v>3744760.5086756158</v>
      </c>
      <c r="O31" s="40">
        <f t="shared" ref="O31:O33" si="5">M31-I31</f>
        <v>3104659.2448405279</v>
      </c>
      <c r="P31" s="38">
        <f t="shared" si="3"/>
        <v>6294766.6331241895</v>
      </c>
      <c r="Q31" s="38">
        <v>5914969.3693915121</v>
      </c>
    </row>
    <row r="32" spans="4:17" x14ac:dyDescent="0.3">
      <c r="D32" s="2">
        <v>28</v>
      </c>
      <c r="E32" s="3"/>
      <c r="F32" s="35">
        <f>F31+(F31*Hypothèses!H$53)</f>
        <v>24519.424236949471</v>
      </c>
      <c r="G32" s="35">
        <f>G31+G31*Hypothèses!H$54</f>
        <v>41514.919130153125</v>
      </c>
      <c r="H32" s="35">
        <f>H31+H31*Hypothèses!I$54</f>
        <v>630055.8271186226</v>
      </c>
      <c r="I32" s="5">
        <f t="shared" si="1"/>
        <v>696090.17048572516</v>
      </c>
      <c r="J32" s="40">
        <f>J31+(J31*Hypothèses!H$53)</f>
        <v>11035.021071484745</v>
      </c>
      <c r="K32" s="35">
        <f>K31+K31*Hypothèses!H$54</f>
        <v>70863.949952631301</v>
      </c>
      <c r="L32" s="35">
        <f>L31+L31*Hypothèses!I$54</f>
        <v>4003709.948138264</v>
      </c>
      <c r="M32" s="5">
        <f t="shared" si="4"/>
        <v>4085608.91916238</v>
      </c>
      <c r="O32" s="40">
        <f t="shared" si="5"/>
        <v>3389518.7486766549</v>
      </c>
      <c r="P32" s="40">
        <f t="shared" si="3"/>
        <v>9684285.3818008453</v>
      </c>
      <c r="Q32" s="38">
        <v>9305111.0524955653</v>
      </c>
    </row>
    <row r="33" spans="4:17" x14ac:dyDescent="0.3">
      <c r="D33" s="2">
        <v>29</v>
      </c>
      <c r="E33" s="3"/>
      <c r="F33" s="35">
        <f>F32+(F32*Hypothèses!H$53)</f>
        <v>25009.81272168846</v>
      </c>
      <c r="G33" s="35">
        <f>G32+G32*Hypothèses!H$54</f>
        <v>44291.684554428721</v>
      </c>
      <c r="H33" s="35">
        <f>H32+H32*Hypothèses!I$54</f>
        <v>687810.94460449636</v>
      </c>
      <c r="I33" s="5">
        <f t="shared" si="1"/>
        <v>757112.44188061345</v>
      </c>
      <c r="J33" s="40">
        <f>J32+(J32*Hypothèses!H$53)</f>
        <v>11255.721492914441</v>
      </c>
      <c r="K33" s="35">
        <f>K32+K32*Hypothèses!H$54</f>
        <v>75603.753622708609</v>
      </c>
      <c r="L33" s="35">
        <f>L32+L32*Hypothèses!I$54</f>
        <v>4370716.6933842711</v>
      </c>
      <c r="M33" s="5">
        <f t="shared" si="4"/>
        <v>4457576.1684998944</v>
      </c>
      <c r="O33" s="40">
        <f t="shared" si="5"/>
        <v>3700463.7266192809</v>
      </c>
      <c r="P33" s="40">
        <f t="shared" si="3"/>
        <v>13384749.108420126</v>
      </c>
      <c r="Q33" s="38">
        <v>13006365.824963234</v>
      </c>
    </row>
    <row r="34" spans="4:17" x14ac:dyDescent="0.3">
      <c r="D34" s="2">
        <v>30</v>
      </c>
      <c r="E34" s="3"/>
      <c r="F34" s="35">
        <f>F33+(F33*Hypothèses!H$53)</f>
        <v>25510.00897612223</v>
      </c>
      <c r="G34" s="35">
        <f>G33+G33*Hypothèses!H$54</f>
        <v>47254.176613442047</v>
      </c>
      <c r="H34" s="35">
        <f>H33+H33*Hypothèses!I$54</f>
        <v>750860.28119324183</v>
      </c>
      <c r="I34" s="5">
        <f t="shared" si="1"/>
        <v>823624.46678280609</v>
      </c>
      <c r="J34" s="40">
        <f>J33+(J33*Hypothèses!H$53)</f>
        <v>11480.835922772731</v>
      </c>
      <c r="K34" s="35">
        <f>K33+K33*Hypothèses!H$54</f>
        <v>80660.583634753813</v>
      </c>
      <c r="L34" s="35">
        <f>L33+L33*Hypothèses!I$54</f>
        <v>4771365.723611163</v>
      </c>
      <c r="M34" s="5">
        <f t="shared" si="4"/>
        <v>4863507.1431686897</v>
      </c>
      <c r="O34" s="40">
        <f>M34-I34+B7</f>
        <v>4189406.4265623824</v>
      </c>
      <c r="P34" s="41">
        <f t="shared" si="3"/>
        <v>17574155.53498251</v>
      </c>
      <c r="Q34" s="39">
        <v>17297642.989317495</v>
      </c>
    </row>
    <row r="35" spans="4:17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O35" s="73"/>
      <c r="P35" s="7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Hypothèses</vt:lpstr>
      <vt:lpstr>Scénario 1 </vt:lpstr>
      <vt:lpstr>Scénario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1</dc:creator>
  <cp:lastModifiedBy>Wauters Joachim</cp:lastModifiedBy>
  <dcterms:created xsi:type="dcterms:W3CDTF">2023-05-02T07:15:41Z</dcterms:created>
  <dcterms:modified xsi:type="dcterms:W3CDTF">2023-06-12T10:47:42Z</dcterms:modified>
</cp:coreProperties>
</file>